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7 - JUL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Execução'!$A$4:$M$86</definedName>
    <definedName name="_xlnm._FilterDatabase" localSheetId="2" hidden="1">'Base Zero'!$B$1:$E$98</definedName>
    <definedName name="_xlnm._FilterDatabase" localSheetId="5" hidden="1">'Execução Orçamentária'!$B$8:$O$417</definedName>
    <definedName name="_xlnm.Extract" localSheetId="5">'Execução Orçamentária'!$B$417:$B$417</definedName>
    <definedName name="_xlnm.Print_Area" localSheetId="2">'Base Zero'!$A$5:$P$89</definedName>
    <definedName name="_xlnm.Print_Area" localSheetId="5">'Execução Orçamentária'!$A$393:$U$417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85" i="15" l="1"/>
  <c r="A84" i="15"/>
  <c r="A83" i="15"/>
  <c r="G95" i="3" l="1"/>
  <c r="P97" i="1"/>
  <c r="P96" i="1"/>
  <c r="A97" i="1"/>
  <c r="A96" i="1"/>
  <c r="A82" i="15"/>
  <c r="A81" i="15"/>
  <c r="P95" i="1" l="1"/>
  <c r="G324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8" i="3"/>
  <c r="G314" i="3"/>
  <c r="G310" i="3"/>
  <c r="G321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39" i="3" l="1"/>
  <c r="G405" i="3" l="1"/>
  <c r="G406" i="3" l="1"/>
  <c r="G216" i="3"/>
  <c r="G388" i="3" l="1"/>
  <c r="G77" i="3"/>
  <c r="G76" i="3"/>
  <c r="G242" i="3"/>
  <c r="G123" i="3"/>
  <c r="G122" i="3"/>
  <c r="G115" i="3"/>
  <c r="G108" i="3"/>
  <c r="G137" i="3"/>
  <c r="G136" i="3" l="1"/>
  <c r="Q398" i="3" l="1"/>
  <c r="Q397" i="3"/>
  <c r="Q384" i="3"/>
  <c r="Q383" i="3"/>
  <c r="Q382" i="3"/>
  <c r="G391" i="3"/>
  <c r="G390" i="3"/>
  <c r="G389" i="3"/>
  <c r="Q387" i="3"/>
  <c r="Q356" i="3"/>
  <c r="Q355" i="3"/>
  <c r="G377" i="3"/>
  <c r="G376" i="3"/>
  <c r="Q375" i="3"/>
  <c r="G373" i="3"/>
  <c r="G372" i="3"/>
  <c r="Q371" i="3"/>
  <c r="G369" i="3"/>
  <c r="G368" i="3"/>
  <c r="Q367" i="3"/>
  <c r="G365" i="3"/>
  <c r="G364" i="3"/>
  <c r="Q363" i="3"/>
  <c r="G361" i="3"/>
  <c r="G360" i="3"/>
  <c r="Q359" i="3"/>
  <c r="Q330" i="3"/>
  <c r="Q329" i="3"/>
  <c r="G335" i="3"/>
  <c r="G334" i="3"/>
  <c r="Q333" i="3"/>
  <c r="G351" i="3"/>
  <c r="Q350" i="3"/>
  <c r="G348" i="3"/>
  <c r="Q347" i="3"/>
  <c r="G345" i="3"/>
  <c r="Q344" i="3"/>
  <c r="G342" i="3"/>
  <c r="Q341" i="3"/>
  <c r="G338" i="3"/>
  <c r="Q337" i="3"/>
  <c r="Q295" i="3"/>
  <c r="Q294" i="3"/>
  <c r="Q293" i="3"/>
  <c r="G303" i="3"/>
  <c r="G317" i="3"/>
  <c r="G313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9" i="3" l="1"/>
  <c r="Q353" i="3"/>
  <c r="Q327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8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4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1" i="3" l="1"/>
  <c r="Q408" i="3"/>
  <c r="Q401" i="3"/>
  <c r="G403" i="3"/>
  <c r="Q393" i="3" l="1"/>
  <c r="X5" i="27" l="1"/>
  <c r="N5" i="28"/>
  <c r="G415" i="3"/>
  <c r="G412" i="3"/>
  <c r="G409" i="3"/>
  <c r="G402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O95" i="3" l="1"/>
  <c r="R95" i="3"/>
  <c r="T95" i="3"/>
  <c r="S95" i="3"/>
  <c r="L95" i="3"/>
  <c r="I95" i="3"/>
  <c r="H95" i="3"/>
  <c r="J95" i="3" s="1"/>
  <c r="K95" i="3" s="1"/>
  <c r="N95" i="3"/>
  <c r="N324" i="3"/>
  <c r="I324" i="3"/>
  <c r="L324" i="3"/>
  <c r="H324" i="3"/>
  <c r="S324" i="3"/>
  <c r="T324" i="3"/>
  <c r="R324" i="3"/>
  <c r="O324" i="3"/>
  <c r="S203" i="3"/>
  <c r="R314" i="3"/>
  <c r="T321" i="3"/>
  <c r="T320" i="3" s="1"/>
  <c r="R279" i="3"/>
  <c r="R278" i="3" s="1"/>
  <c r="R318" i="3"/>
  <c r="R203" i="3"/>
  <c r="T318" i="3"/>
  <c r="O314" i="3"/>
  <c r="S321" i="3"/>
  <c r="S320" i="3" s="1"/>
  <c r="O279" i="3"/>
  <c r="O278" i="3" s="1"/>
  <c r="T310" i="3"/>
  <c r="O203" i="3"/>
  <c r="S318" i="3"/>
  <c r="R321" i="3"/>
  <c r="R320" i="3" s="1"/>
  <c r="O321" i="3"/>
  <c r="O320" i="3" s="1"/>
  <c r="T199" i="3"/>
  <c r="O318" i="3"/>
  <c r="S310" i="3"/>
  <c r="R199" i="3"/>
  <c r="T314" i="3"/>
  <c r="T279" i="3"/>
  <c r="T278" i="3" s="1"/>
  <c r="O199" i="3"/>
  <c r="S279" i="3"/>
  <c r="S278" i="3" s="1"/>
  <c r="S199" i="3"/>
  <c r="R310" i="3"/>
  <c r="O310" i="3"/>
  <c r="T203" i="3"/>
  <c r="S314" i="3"/>
  <c r="S206" i="3"/>
  <c r="S205" i="3" s="1"/>
  <c r="T206" i="3"/>
  <c r="O206" i="3"/>
  <c r="O205" i="3" s="1"/>
  <c r="R206" i="3"/>
  <c r="R205" i="3" s="1"/>
  <c r="I203" i="3"/>
  <c r="L199" i="3"/>
  <c r="N318" i="3"/>
  <c r="H279" i="3"/>
  <c r="H203" i="3"/>
  <c r="I199" i="3"/>
  <c r="L318" i="3"/>
  <c r="N314" i="3"/>
  <c r="H199" i="3"/>
  <c r="I318" i="3"/>
  <c r="L314" i="3"/>
  <c r="N310" i="3"/>
  <c r="H318" i="3"/>
  <c r="I314" i="3"/>
  <c r="L310" i="3"/>
  <c r="N321" i="3"/>
  <c r="H314" i="3"/>
  <c r="H310" i="3"/>
  <c r="I321" i="3"/>
  <c r="I320" i="3" s="1"/>
  <c r="N279" i="3"/>
  <c r="I310" i="3"/>
  <c r="N203" i="3"/>
  <c r="H321" i="3"/>
  <c r="L279" i="3"/>
  <c r="L203" i="3"/>
  <c r="N199" i="3"/>
  <c r="I279" i="3"/>
  <c r="I278" i="3" s="1"/>
  <c r="L321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0" i="3"/>
  <c r="T195" i="3"/>
  <c r="T188" i="3" s="1"/>
  <c r="R195" i="3"/>
  <c r="R188" i="3" s="1"/>
  <c r="S195" i="3"/>
  <c r="S188" i="3" s="1"/>
  <c r="R305" i="3"/>
  <c r="R297" i="3" s="1"/>
  <c r="T305" i="3"/>
  <c r="T297" i="3" s="1"/>
  <c r="S305" i="3"/>
  <c r="S297" i="3" s="1"/>
  <c r="T240" i="3"/>
  <c r="R240" i="3"/>
  <c r="R229" i="3" s="1"/>
  <c r="S240" i="3"/>
  <c r="S229" i="3" s="1"/>
  <c r="R339" i="3"/>
  <c r="S339" i="3"/>
  <c r="T339" i="3"/>
  <c r="R405" i="3"/>
  <c r="R395" i="3" s="1"/>
  <c r="T405" i="3"/>
  <c r="T395" i="3" s="1"/>
  <c r="S405" i="3"/>
  <c r="T406" i="3"/>
  <c r="T216" i="3"/>
  <c r="T211" i="3" s="1"/>
  <c r="S406" i="3"/>
  <c r="R406" i="3"/>
  <c r="S216" i="3"/>
  <c r="S211" i="3" s="1"/>
  <c r="R216" i="3"/>
  <c r="R211" i="3" s="1"/>
  <c r="T77" i="3"/>
  <c r="R388" i="3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88" i="3"/>
  <c r="S381" i="3" s="1"/>
  <c r="T137" i="3"/>
  <c r="T129" i="3" s="1"/>
  <c r="R115" i="3"/>
  <c r="R114" i="3" s="1"/>
  <c r="R122" i="3"/>
  <c r="S137" i="3"/>
  <c r="S129" i="3" s="1"/>
  <c r="T122" i="3"/>
  <c r="T108" i="3"/>
  <c r="R137" i="3"/>
  <c r="T388" i="3"/>
  <c r="T381" i="3" s="1"/>
  <c r="R136" i="3"/>
  <c r="S136" i="3"/>
  <c r="T136" i="3"/>
  <c r="R21" i="3"/>
  <c r="S160" i="3"/>
  <c r="S159" i="3" s="1"/>
  <c r="S265" i="3"/>
  <c r="T377" i="3"/>
  <c r="R22" i="3"/>
  <c r="S194" i="3"/>
  <c r="S368" i="3"/>
  <c r="S16" i="3"/>
  <c r="S163" i="3"/>
  <c r="S162" i="3" s="1"/>
  <c r="T215" i="3"/>
  <c r="R302" i="3"/>
  <c r="T46" i="3"/>
  <c r="R79" i="3"/>
  <c r="R70" i="3" s="1"/>
  <c r="R202" i="3"/>
  <c r="S269" i="3"/>
  <c r="T90" i="3"/>
  <c r="R17" i="3"/>
  <c r="S166" i="3"/>
  <c r="S165" i="3" s="1"/>
  <c r="S239" i="3"/>
  <c r="R270" i="3"/>
  <c r="R338" i="3"/>
  <c r="T372" i="3"/>
  <c r="R376" i="3"/>
  <c r="S55" i="3"/>
  <c r="S54" i="3" s="1"/>
  <c r="T146" i="3"/>
  <c r="R245" i="3"/>
  <c r="T373" i="3"/>
  <c r="R27" i="3"/>
  <c r="T157" i="3"/>
  <c r="T152" i="3" s="1"/>
  <c r="S246" i="3"/>
  <c r="S342" i="3"/>
  <c r="S341" i="3" s="1"/>
  <c r="T364" i="3"/>
  <c r="T270" i="3"/>
  <c r="T261" i="3" s="1"/>
  <c r="S119" i="3"/>
  <c r="T317" i="3"/>
  <c r="R194" i="3"/>
  <c r="R35" i="3"/>
  <c r="S338" i="3"/>
  <c r="T246" i="3"/>
  <c r="S21" i="3"/>
  <c r="T172" i="3"/>
  <c r="T171" i="3" s="1"/>
  <c r="R265" i="3"/>
  <c r="S377" i="3"/>
  <c r="T49" i="3"/>
  <c r="T194" i="3"/>
  <c r="R368" i="3"/>
  <c r="S78" i="3"/>
  <c r="R163" i="3"/>
  <c r="R162" i="3" s="1"/>
  <c r="S215" i="3"/>
  <c r="T348" i="3"/>
  <c r="T347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38" i="3"/>
  <c r="S372" i="3"/>
  <c r="T26" i="3"/>
  <c r="R55" i="3"/>
  <c r="R54" i="3" s="1"/>
  <c r="S146" i="3"/>
  <c r="R289" i="3"/>
  <c r="R284" i="3" s="1"/>
  <c r="S373" i="3"/>
  <c r="T27" i="3"/>
  <c r="T169" i="3"/>
  <c r="R246" i="3"/>
  <c r="T342" i="3"/>
  <c r="T341" i="3" s="1"/>
  <c r="T391" i="3"/>
  <c r="T384" i="3" s="1"/>
  <c r="R112" i="3"/>
  <c r="T245" i="3"/>
  <c r="T265" i="3"/>
  <c r="R46" i="3"/>
  <c r="R45" i="3" s="1"/>
  <c r="R222" i="3"/>
  <c r="R335" i="3"/>
  <c r="T21" i="3"/>
  <c r="S172" i="3"/>
  <c r="S171" i="3" s="1"/>
  <c r="T276" i="3"/>
  <c r="T275" i="3" s="1"/>
  <c r="R377" i="3"/>
  <c r="S49" i="3"/>
  <c r="S48" i="3" s="1"/>
  <c r="R234" i="3"/>
  <c r="T368" i="3"/>
  <c r="T78" i="3"/>
  <c r="S175" i="3"/>
  <c r="S174" i="3" s="1"/>
  <c r="R215" i="3"/>
  <c r="S348" i="3"/>
  <c r="S347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1" i="3"/>
  <c r="R350" i="3" s="1"/>
  <c r="R372" i="3"/>
  <c r="S26" i="3"/>
  <c r="R81" i="3"/>
  <c r="R146" i="3"/>
  <c r="T289" i="3"/>
  <c r="T284" i="3" s="1"/>
  <c r="S390" i="3"/>
  <c r="S383" i="3" s="1"/>
  <c r="S27" i="3"/>
  <c r="S169" i="3"/>
  <c r="S168" i="3" s="1"/>
  <c r="S273" i="3"/>
  <c r="S272" i="3" s="1"/>
  <c r="R342" i="3"/>
  <c r="R391" i="3"/>
  <c r="R384" i="3" s="1"/>
  <c r="S309" i="3"/>
  <c r="S335" i="3"/>
  <c r="R266" i="3"/>
  <c r="R260" i="3" s="1"/>
  <c r="S17" i="3"/>
  <c r="R119" i="3"/>
  <c r="T63" i="3"/>
  <c r="R172" i="3"/>
  <c r="R276" i="3"/>
  <c r="R275" i="3" s="1"/>
  <c r="T365" i="3"/>
  <c r="R49" i="3"/>
  <c r="R48" i="3" s="1"/>
  <c r="S234" i="3"/>
  <c r="T303" i="3"/>
  <c r="R78" i="3"/>
  <c r="R175" i="3"/>
  <c r="R174" i="3" s="1"/>
  <c r="T237" i="3"/>
  <c r="R348" i="3"/>
  <c r="R347" i="3" s="1"/>
  <c r="T52" i="3"/>
  <c r="T51" i="3" s="1"/>
  <c r="T105" i="3"/>
  <c r="S219" i="3"/>
  <c r="S218" i="3" s="1"/>
  <c r="S304" i="3"/>
  <c r="S295" i="3" s="1"/>
  <c r="R192" i="3"/>
  <c r="R80" i="3"/>
  <c r="R71" i="3" s="1"/>
  <c r="S178" i="3"/>
  <c r="R254" i="3"/>
  <c r="R288" i="3"/>
  <c r="T351" i="3"/>
  <c r="T350" i="3" s="1"/>
  <c r="T389" i="3"/>
  <c r="R26" i="3"/>
  <c r="S81" i="3"/>
  <c r="S72" i="3" s="1"/>
  <c r="T156" i="3"/>
  <c r="S289" i="3"/>
  <c r="R390" i="3"/>
  <c r="R383" i="3" s="1"/>
  <c r="R147" i="3"/>
  <c r="R142" i="3" s="1"/>
  <c r="R169" i="3"/>
  <c r="R168" i="3" s="1"/>
  <c r="T273" i="3"/>
  <c r="T272" i="3" s="1"/>
  <c r="T334" i="3"/>
  <c r="S391" i="3"/>
  <c r="S384" i="3" s="1"/>
  <c r="T17" i="3"/>
  <c r="R313" i="3"/>
  <c r="S345" i="3"/>
  <c r="S344" i="3" s="1"/>
  <c r="S302" i="3"/>
  <c r="S270" i="3"/>
  <c r="S261" i="3" s="1"/>
  <c r="R373" i="3"/>
  <c r="S63" i="3"/>
  <c r="T193" i="3"/>
  <c r="S276" i="3"/>
  <c r="S275" i="3" s="1"/>
  <c r="S365" i="3"/>
  <c r="R94" i="3"/>
  <c r="R93" i="3" s="1"/>
  <c r="T234" i="3"/>
  <c r="S303" i="3"/>
  <c r="R133" i="3"/>
  <c r="T175" i="3"/>
  <c r="T174" i="3" s="1"/>
  <c r="S237" i="3"/>
  <c r="R369" i="3"/>
  <c r="S52" i="3"/>
  <c r="S105" i="3"/>
  <c r="T238" i="3"/>
  <c r="R304" i="3"/>
  <c r="T192" i="3"/>
  <c r="T112" i="3"/>
  <c r="R178" i="3"/>
  <c r="R177" i="3" s="1"/>
  <c r="T254" i="3"/>
  <c r="T309" i="3"/>
  <c r="S351" i="3"/>
  <c r="S350" i="3" s="1"/>
  <c r="S389" i="3"/>
  <c r="S43" i="3"/>
  <c r="T81" i="3"/>
  <c r="T72" i="3" s="1"/>
  <c r="S156" i="3"/>
  <c r="T313" i="3"/>
  <c r="T390" i="3"/>
  <c r="T383" i="3" s="1"/>
  <c r="T147" i="3"/>
  <c r="S181" i="3"/>
  <c r="S180" i="3" s="1"/>
  <c r="R273" i="3"/>
  <c r="R272" i="3" s="1"/>
  <c r="S334" i="3"/>
  <c r="S360" i="3"/>
  <c r="T376" i="3"/>
  <c r="T181" i="3"/>
  <c r="T180" i="3" s="1"/>
  <c r="S22" i="3"/>
  <c r="R360" i="3"/>
  <c r="T55" i="3"/>
  <c r="T54" i="3" s="1"/>
  <c r="R364" i="3"/>
  <c r="R63" i="3"/>
  <c r="S193" i="3"/>
  <c r="R345" i="3"/>
  <c r="R344" i="3" s="1"/>
  <c r="R365" i="3"/>
  <c r="T94" i="3"/>
  <c r="T93" i="3" s="1"/>
  <c r="T266" i="3"/>
  <c r="R303" i="3"/>
  <c r="T133" i="3"/>
  <c r="T198" i="3"/>
  <c r="R237" i="3"/>
  <c r="T369" i="3"/>
  <c r="T35" i="3"/>
  <c r="R105" i="3"/>
  <c r="S238" i="3"/>
  <c r="T360" i="3"/>
  <c r="S192" i="3"/>
  <c r="S112" i="3"/>
  <c r="T222" i="3"/>
  <c r="T221" i="3" s="1"/>
  <c r="S254" i="3"/>
  <c r="R309" i="3"/>
  <c r="R308" i="3" s="1"/>
  <c r="T361" i="3"/>
  <c r="R389" i="3"/>
  <c r="R43" i="3"/>
  <c r="T119" i="3"/>
  <c r="R156" i="3"/>
  <c r="S313" i="3"/>
  <c r="T335" i="3"/>
  <c r="S147" i="3"/>
  <c r="S142" i="3" s="1"/>
  <c r="R181" i="3"/>
  <c r="R180" i="3" s="1"/>
  <c r="R317" i="3"/>
  <c r="R334" i="3"/>
  <c r="R238" i="3"/>
  <c r="T43" i="3"/>
  <c r="S364" i="3"/>
  <c r="R198" i="3"/>
  <c r="R269" i="3"/>
  <c r="S376" i="3"/>
  <c r="S317" i="3"/>
  <c r="R160" i="3"/>
  <c r="R159" i="3" s="1"/>
  <c r="R193" i="3"/>
  <c r="T345" i="3"/>
  <c r="T344" i="3" s="1"/>
  <c r="T22" i="3"/>
  <c r="S94" i="3"/>
  <c r="S93" i="3" s="1"/>
  <c r="S266" i="3"/>
  <c r="S260" i="3" s="1"/>
  <c r="R16" i="3"/>
  <c r="S133" i="3"/>
  <c r="S198" i="3"/>
  <c r="T302" i="3"/>
  <c r="S369" i="3"/>
  <c r="S35" i="3"/>
  <c r="T202" i="3"/>
  <c r="S222" i="3"/>
  <c r="S221" i="3" s="1"/>
  <c r="S361" i="3"/>
  <c r="S157" i="3"/>
  <c r="T16" i="3"/>
  <c r="S202" i="3"/>
  <c r="S201" i="3" s="1"/>
  <c r="R361" i="3"/>
  <c r="R157" i="3"/>
  <c r="R152" i="3" s="1"/>
  <c r="T160" i="3"/>
  <c r="T159" i="3" s="1"/>
  <c r="T163" i="3"/>
  <c r="T162" i="3" s="1"/>
  <c r="R166" i="3"/>
  <c r="R165" i="3" s="1"/>
  <c r="S245" i="3"/>
  <c r="R403" i="3"/>
  <c r="R398" i="3" s="1"/>
  <c r="T403" i="3"/>
  <c r="T398" i="3" s="1"/>
  <c r="S403" i="3"/>
  <c r="S398" i="3" s="1"/>
  <c r="T402" i="3"/>
  <c r="S402" i="3"/>
  <c r="R402" i="3"/>
  <c r="S409" i="3"/>
  <c r="R409" i="3"/>
  <c r="T409" i="3"/>
  <c r="T412" i="3"/>
  <c r="S412" i="3"/>
  <c r="R412" i="3"/>
  <c r="S415" i="3"/>
  <c r="T415" i="3"/>
  <c r="R415" i="3"/>
  <c r="N415" i="3"/>
  <c r="N390" i="3"/>
  <c r="N383" i="3" s="1"/>
  <c r="N368" i="3"/>
  <c r="N342" i="3"/>
  <c r="N341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2" i="3"/>
  <c r="N389" i="3"/>
  <c r="N365" i="3"/>
  <c r="N339" i="3"/>
  <c r="N270" i="3"/>
  <c r="N261" i="3" s="1"/>
  <c r="N105" i="3"/>
  <c r="N409" i="3"/>
  <c r="N388" i="3"/>
  <c r="N381" i="3" s="1"/>
  <c r="N364" i="3"/>
  <c r="N338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5" i="3"/>
  <c r="N344" i="3" s="1"/>
  <c r="N192" i="3"/>
  <c r="N46" i="3"/>
  <c r="N178" i="3"/>
  <c r="N177" i="3" s="1"/>
  <c r="N406" i="3"/>
  <c r="N377" i="3"/>
  <c r="N361" i="3"/>
  <c r="N335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69" i="3"/>
  <c r="N219" i="3"/>
  <c r="N218" i="3" s="1"/>
  <c r="N108" i="3"/>
  <c r="N215" i="3"/>
  <c r="N35" i="3"/>
  <c r="N405" i="3"/>
  <c r="N376" i="3"/>
  <c r="N360" i="3"/>
  <c r="N334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160" i="3"/>
  <c r="N159" i="3" s="1"/>
  <c r="N16" i="3"/>
  <c r="N122" i="3"/>
  <c r="N403" i="3"/>
  <c r="N398" i="3" s="1"/>
  <c r="N373" i="3"/>
  <c r="N351" i="3"/>
  <c r="N350" i="3" s="1"/>
  <c r="N317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2" i="3"/>
  <c r="N372" i="3"/>
  <c r="N348" i="3"/>
  <c r="N347" i="3" s="1"/>
  <c r="N313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1" i="3"/>
  <c r="N384" i="3" s="1"/>
  <c r="N276" i="3"/>
  <c r="N275" i="3" s="1"/>
  <c r="N133" i="3"/>
  <c r="N305" i="3"/>
  <c r="N297" i="3" s="1"/>
  <c r="N156" i="3"/>
  <c r="L306" i="3"/>
  <c r="I306" i="3"/>
  <c r="I298" i="3" s="1"/>
  <c r="H91" i="3"/>
  <c r="H86" i="3" s="1"/>
  <c r="H306" i="3"/>
  <c r="L91" i="3"/>
  <c r="L86" i="3" s="1"/>
  <c r="I91" i="3"/>
  <c r="I86" i="3" s="1"/>
  <c r="O306" i="3"/>
  <c r="O91" i="3"/>
  <c r="O86" i="3" s="1"/>
  <c r="R67" i="3"/>
  <c r="O63" i="3"/>
  <c r="O26" i="3"/>
  <c r="O406" i="3"/>
  <c r="O377" i="3"/>
  <c r="O361" i="3"/>
  <c r="O335" i="3"/>
  <c r="O302" i="3"/>
  <c r="O265" i="3"/>
  <c r="O237" i="3"/>
  <c r="O195" i="3"/>
  <c r="O169" i="3"/>
  <c r="O137" i="3"/>
  <c r="O112" i="3"/>
  <c r="O81" i="3"/>
  <c r="O55" i="3"/>
  <c r="O22" i="3"/>
  <c r="O405" i="3"/>
  <c r="O376" i="3"/>
  <c r="O360" i="3"/>
  <c r="O334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3" i="3"/>
  <c r="O398" i="3" s="1"/>
  <c r="O373" i="3"/>
  <c r="O351" i="3"/>
  <c r="O317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2" i="3"/>
  <c r="O372" i="3"/>
  <c r="O348" i="3"/>
  <c r="O313" i="3"/>
  <c r="O245" i="3"/>
  <c r="O192" i="3"/>
  <c r="O108" i="3"/>
  <c r="O90" i="3"/>
  <c r="O46" i="3"/>
  <c r="O16" i="3"/>
  <c r="O391" i="3"/>
  <c r="O369" i="3"/>
  <c r="O345" i="3"/>
  <c r="O309" i="3"/>
  <c r="O273" i="3"/>
  <c r="O242" i="3"/>
  <c r="O216" i="3"/>
  <c r="O181" i="3"/>
  <c r="O157" i="3"/>
  <c r="O123" i="3"/>
  <c r="O106" i="3"/>
  <c r="O77" i="3"/>
  <c r="O119" i="3"/>
  <c r="O43" i="3"/>
  <c r="O415" i="3"/>
  <c r="O390" i="3"/>
  <c r="O368" i="3"/>
  <c r="O342" i="3"/>
  <c r="O305" i="3"/>
  <c r="O270" i="3"/>
  <c r="O240" i="3"/>
  <c r="O229" i="3" s="1"/>
  <c r="O215" i="3"/>
  <c r="O178" i="3"/>
  <c r="O156" i="3"/>
  <c r="O122" i="3"/>
  <c r="O105" i="3"/>
  <c r="O76" i="3"/>
  <c r="O338" i="3"/>
  <c r="O198" i="3"/>
  <c r="O35" i="3"/>
  <c r="O412" i="3"/>
  <c r="O389" i="3"/>
  <c r="O365" i="3"/>
  <c r="O339" i="3"/>
  <c r="O304" i="3"/>
  <c r="O269" i="3"/>
  <c r="O239" i="3"/>
  <c r="O202" i="3"/>
  <c r="O175" i="3"/>
  <c r="O147" i="3"/>
  <c r="O120" i="3"/>
  <c r="O94" i="3"/>
  <c r="O93" i="3" s="1"/>
  <c r="O27" i="3"/>
  <c r="O409" i="3"/>
  <c r="O388" i="3"/>
  <c r="O364" i="3"/>
  <c r="O303" i="3"/>
  <c r="O238" i="3"/>
  <c r="S12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I297" i="3" s="1"/>
  <c r="H305" i="3"/>
  <c r="L305" i="3"/>
  <c r="L195" i="3"/>
  <c r="I195" i="3"/>
  <c r="I188" i="3" s="1"/>
  <c r="H195" i="3"/>
  <c r="T229" i="3"/>
  <c r="L240" i="3"/>
  <c r="L229" i="3" s="1"/>
  <c r="I240" i="3"/>
  <c r="I229" i="3" s="1"/>
  <c r="H240" i="3"/>
  <c r="H229" i="3" s="1"/>
  <c r="L339" i="3"/>
  <c r="I339" i="3"/>
  <c r="H339" i="3"/>
  <c r="H405" i="3"/>
  <c r="I405" i="3"/>
  <c r="I395" i="3" s="1"/>
  <c r="L405" i="3"/>
  <c r="S395" i="3"/>
  <c r="I406" i="3"/>
  <c r="H406" i="3"/>
  <c r="L406" i="3"/>
  <c r="I216" i="3"/>
  <c r="I211" i="3" s="1"/>
  <c r="H216" i="3"/>
  <c r="L216" i="3"/>
  <c r="I122" i="3"/>
  <c r="I123" i="3"/>
  <c r="L122" i="3"/>
  <c r="L388" i="3"/>
  <c r="H122" i="3"/>
  <c r="I388" i="3"/>
  <c r="I381" i="3" s="1"/>
  <c r="H123" i="3"/>
  <c r="H388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R381" i="3"/>
  <c r="R129" i="3"/>
  <c r="L136" i="3"/>
  <c r="I136" i="3"/>
  <c r="H136" i="3"/>
  <c r="I79" i="3"/>
  <c r="I70" i="3" s="1"/>
  <c r="I80" i="3"/>
  <c r="I71" i="3" s="1"/>
  <c r="I78" i="3"/>
  <c r="I81" i="3"/>
  <c r="I72" i="3" s="1"/>
  <c r="R221" i="3"/>
  <c r="L222" i="3"/>
  <c r="H26" i="3"/>
  <c r="L119" i="3"/>
  <c r="L309" i="3"/>
  <c r="L390" i="3"/>
  <c r="L369" i="3"/>
  <c r="H376" i="3"/>
  <c r="L360" i="3"/>
  <c r="H351" i="3"/>
  <c r="L334" i="3"/>
  <c r="H338" i="3"/>
  <c r="L317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68" i="3"/>
  <c r="L361" i="3"/>
  <c r="I348" i="3"/>
  <c r="I347" i="3" s="1"/>
  <c r="L303" i="3"/>
  <c r="L289" i="3"/>
  <c r="L273" i="3"/>
  <c r="I246" i="3"/>
  <c r="H166" i="3"/>
  <c r="I49" i="3"/>
  <c r="I48" i="3" s="1"/>
  <c r="I27" i="3"/>
  <c r="L246" i="3"/>
  <c r="I368" i="3"/>
  <c r="L342" i="3"/>
  <c r="L276" i="3"/>
  <c r="H157" i="3"/>
  <c r="I46" i="3"/>
  <c r="I45" i="3" s="1"/>
  <c r="L27" i="3"/>
  <c r="H22" i="3"/>
  <c r="L94" i="3"/>
  <c r="L93" i="3" s="1"/>
  <c r="H254" i="3"/>
  <c r="H273" i="3"/>
  <c r="H389" i="3"/>
  <c r="H365" i="3"/>
  <c r="L377" i="3"/>
  <c r="H361" i="3"/>
  <c r="H369" i="3"/>
  <c r="L351" i="3"/>
  <c r="I351" i="3"/>
  <c r="I350" i="3" s="1"/>
  <c r="L335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89" i="3"/>
  <c r="I376" i="3"/>
  <c r="I334" i="3"/>
  <c r="H302" i="3"/>
  <c r="H234" i="3"/>
  <c r="L166" i="3"/>
  <c r="L105" i="3"/>
  <c r="L21" i="3"/>
  <c r="L265" i="3"/>
  <c r="H276" i="3"/>
  <c r="H288" i="3"/>
  <c r="H317" i="3"/>
  <c r="L365" i="3"/>
  <c r="H372" i="3"/>
  <c r="L376" i="3"/>
  <c r="I361" i="3"/>
  <c r="H373" i="3"/>
  <c r="L338" i="3"/>
  <c r="H345" i="3"/>
  <c r="I303" i="3"/>
  <c r="I313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H93" i="3" s="1"/>
  <c r="L49" i="3"/>
  <c r="L22" i="3"/>
  <c r="H342" i="3"/>
  <c r="H341" i="3" s="1"/>
  <c r="H391" i="3"/>
  <c r="H377" i="3"/>
  <c r="L313" i="3"/>
  <c r="L312" i="3" s="1"/>
  <c r="H266" i="3"/>
  <c r="L237" i="3"/>
  <c r="L192" i="3"/>
  <c r="H156" i="3"/>
  <c r="L181" i="3"/>
  <c r="L147" i="3"/>
  <c r="I94" i="3"/>
  <c r="I93" i="3" s="1"/>
  <c r="H63" i="3"/>
  <c r="L17" i="3"/>
  <c r="L133" i="3"/>
  <c r="L391" i="3"/>
  <c r="I391" i="3"/>
  <c r="I384" i="3" s="1"/>
  <c r="I369" i="3"/>
  <c r="I335" i="3"/>
  <c r="I239" i="3"/>
  <c r="L194" i="3"/>
  <c r="L172" i="3"/>
  <c r="L79" i="3"/>
  <c r="H52" i="3"/>
  <c r="L175" i="3"/>
  <c r="L302" i="3"/>
  <c r="L146" i="3"/>
  <c r="L178" i="3"/>
  <c r="L389" i="3"/>
  <c r="H390" i="3"/>
  <c r="L372" i="3"/>
  <c r="H360" i="3"/>
  <c r="I373" i="3"/>
  <c r="L345" i="3"/>
  <c r="I338" i="3"/>
  <c r="H335" i="3"/>
  <c r="H303" i="3"/>
  <c r="L288" i="3"/>
  <c r="I288" i="3"/>
  <c r="I273" i="3"/>
  <c r="I272" i="3" s="1"/>
  <c r="I269" i="3"/>
  <c r="I238" i="3"/>
  <c r="I198" i="3"/>
  <c r="I197" i="3" s="1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2" i="3"/>
  <c r="L348" i="3"/>
  <c r="H313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3" i="3"/>
  <c r="L364" i="3"/>
  <c r="H364" i="3"/>
  <c r="I360" i="3"/>
  <c r="I377" i="3"/>
  <c r="H348" i="3"/>
  <c r="I345" i="3"/>
  <c r="I344" i="3" s="1"/>
  <c r="H334" i="3"/>
  <c r="I317" i="3"/>
  <c r="I316" i="3" s="1"/>
  <c r="I309" i="3"/>
  <c r="I308" i="3" s="1"/>
  <c r="H309" i="3"/>
  <c r="H308" i="3" s="1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0" i="3"/>
  <c r="I383" i="3" s="1"/>
  <c r="L368" i="3"/>
  <c r="I365" i="3"/>
  <c r="I342" i="3"/>
  <c r="H289" i="3"/>
  <c r="H270" i="3"/>
  <c r="H239" i="3"/>
  <c r="H215" i="3"/>
  <c r="H193" i="3"/>
  <c r="L163" i="3"/>
  <c r="I178" i="3"/>
  <c r="I177" i="3" s="1"/>
  <c r="H133" i="3"/>
  <c r="H55" i="3"/>
  <c r="I364" i="3"/>
  <c r="I302" i="3"/>
  <c r="H169" i="3"/>
  <c r="H43" i="3"/>
  <c r="H16" i="3"/>
  <c r="T168" i="3"/>
  <c r="R341" i="3"/>
  <c r="S51" i="3"/>
  <c r="S152" i="3"/>
  <c r="T70" i="3"/>
  <c r="T45" i="3"/>
  <c r="T142" i="3"/>
  <c r="T260" i="3"/>
  <c r="R171" i="3"/>
  <c r="S177" i="3"/>
  <c r="S284" i="3"/>
  <c r="T48" i="3"/>
  <c r="R72" i="3"/>
  <c r="R261" i="3"/>
  <c r="L403" i="3"/>
  <c r="L398" i="3" s="1"/>
  <c r="H403" i="3"/>
  <c r="H398" i="3" s="1"/>
  <c r="I403" i="3"/>
  <c r="I398" i="3" s="1"/>
  <c r="P15" i="27"/>
  <c r="P14" i="27"/>
  <c r="P18" i="27"/>
  <c r="L402" i="3"/>
  <c r="L409" i="3"/>
  <c r="L412" i="3"/>
  <c r="L415" i="3"/>
  <c r="H415" i="3"/>
  <c r="H414" i="3" s="1"/>
  <c r="I415" i="3"/>
  <c r="I412" i="3"/>
  <c r="I402" i="3"/>
  <c r="H409" i="3"/>
  <c r="H408" i="3" s="1"/>
  <c r="H412" i="3"/>
  <c r="H411" i="3" s="1"/>
  <c r="H402" i="3"/>
  <c r="I409" i="3"/>
  <c r="N86" i="3" l="1"/>
  <c r="M95" i="3"/>
  <c r="P95" i="3"/>
  <c r="I187" i="3"/>
  <c r="H316" i="3"/>
  <c r="H323" i="3"/>
  <c r="H296" i="3"/>
  <c r="J324" i="3"/>
  <c r="K324" i="3" s="1"/>
  <c r="L296" i="3"/>
  <c r="L323" i="3"/>
  <c r="M324" i="3"/>
  <c r="I323" i="3"/>
  <c r="I296" i="3"/>
  <c r="N323" i="3"/>
  <c r="N296" i="3"/>
  <c r="O323" i="3"/>
  <c r="P324" i="3"/>
  <c r="O296" i="3"/>
  <c r="R323" i="3"/>
  <c r="R296" i="3"/>
  <c r="T323" i="3"/>
  <c r="T296" i="3"/>
  <c r="S323" i="3"/>
  <c r="S296" i="3"/>
  <c r="L295" i="3"/>
  <c r="I312" i="3"/>
  <c r="I294" i="3"/>
  <c r="L187" i="3"/>
  <c r="O316" i="3"/>
  <c r="T316" i="3"/>
  <c r="O201" i="3"/>
  <c r="T312" i="3"/>
  <c r="S312" i="3"/>
  <c r="N308" i="3"/>
  <c r="U308" i="3" s="1"/>
  <c r="H187" i="3"/>
  <c r="L259" i="3"/>
  <c r="J314" i="3"/>
  <c r="K314" i="3" s="1"/>
  <c r="N197" i="3"/>
  <c r="O308" i="3"/>
  <c r="S308" i="3"/>
  <c r="R312" i="3"/>
  <c r="P203" i="3"/>
  <c r="L316" i="3"/>
  <c r="L308" i="3"/>
  <c r="L294" i="3"/>
  <c r="H295" i="3"/>
  <c r="J203" i="3"/>
  <c r="K203" i="3" s="1"/>
  <c r="J310" i="3"/>
  <c r="K310" i="3" s="1"/>
  <c r="P318" i="3"/>
  <c r="O295" i="3"/>
  <c r="O187" i="3"/>
  <c r="T201" i="3"/>
  <c r="R197" i="3"/>
  <c r="T294" i="3"/>
  <c r="T308" i="3"/>
  <c r="T295" i="3"/>
  <c r="P310" i="3"/>
  <c r="J22" i="3"/>
  <c r="K22" i="3" s="1"/>
  <c r="T186" i="3"/>
  <c r="S186" i="3"/>
  <c r="O312" i="3"/>
  <c r="T197" i="3"/>
  <c r="P314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6" i="3"/>
  <c r="R316" i="3"/>
  <c r="P199" i="3"/>
  <c r="N316" i="3"/>
  <c r="N201" i="3"/>
  <c r="N186" i="3"/>
  <c r="N187" i="3"/>
  <c r="N294" i="3"/>
  <c r="M314" i="3"/>
  <c r="N312" i="3"/>
  <c r="N295" i="3"/>
  <c r="M203" i="3"/>
  <c r="L186" i="3"/>
  <c r="J206" i="3"/>
  <c r="J205" i="3" s="1"/>
  <c r="H205" i="3"/>
  <c r="L278" i="3"/>
  <c r="M279" i="3"/>
  <c r="M278" i="3" s="1"/>
  <c r="N320" i="3"/>
  <c r="U320" i="3" s="1"/>
  <c r="P321" i="3"/>
  <c r="P320" i="3" s="1"/>
  <c r="I186" i="3"/>
  <c r="N205" i="3"/>
  <c r="U205" i="3" s="1"/>
  <c r="P206" i="3"/>
  <c r="P205" i="3" s="1"/>
  <c r="J321" i="3"/>
  <c r="J320" i="3" s="1"/>
  <c r="H320" i="3"/>
  <c r="M310" i="3"/>
  <c r="M318" i="3"/>
  <c r="H312" i="3"/>
  <c r="L205" i="3"/>
  <c r="M206" i="3"/>
  <c r="M205" i="3" s="1"/>
  <c r="J199" i="3"/>
  <c r="K199" i="3" s="1"/>
  <c r="H186" i="3"/>
  <c r="J318" i="3"/>
  <c r="K318" i="3" s="1"/>
  <c r="L201" i="3"/>
  <c r="L320" i="3"/>
  <c r="M321" i="3"/>
  <c r="M320" i="3" s="1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7" i="3"/>
  <c r="L330" i="3"/>
  <c r="I301" i="3"/>
  <c r="S104" i="3"/>
  <c r="M13" i="19" s="1"/>
  <c r="T89" i="3"/>
  <c r="S89" i="3"/>
  <c r="I371" i="3"/>
  <c r="N228" i="3"/>
  <c r="L89" i="3"/>
  <c r="T111" i="3"/>
  <c r="L301" i="3"/>
  <c r="I89" i="3"/>
  <c r="N89" i="3"/>
  <c r="S68" i="3"/>
  <c r="R89" i="3"/>
  <c r="M91" i="3"/>
  <c r="M86" i="3" s="1"/>
  <c r="J306" i="3"/>
  <c r="H298" i="3"/>
  <c r="J91" i="3"/>
  <c r="J86" i="3" s="1"/>
  <c r="L298" i="3"/>
  <c r="M306" i="3"/>
  <c r="M298" i="3" s="1"/>
  <c r="P91" i="3"/>
  <c r="P86" i="3" s="1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6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5" i="3"/>
  <c r="M405" i="3"/>
  <c r="M395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0" i="3"/>
  <c r="I228" i="3"/>
  <c r="H214" i="3"/>
  <c r="T337" i="3"/>
  <c r="T330" i="3"/>
  <c r="H188" i="3"/>
  <c r="J195" i="3"/>
  <c r="J188" i="3" s="1"/>
  <c r="L188" i="3"/>
  <c r="M195" i="3"/>
  <c r="M188" i="3" s="1"/>
  <c r="L297" i="3"/>
  <c r="M305" i="3"/>
  <c r="M297" i="3" s="1"/>
  <c r="J305" i="3"/>
  <c r="J297" i="3" s="1"/>
  <c r="H297" i="3"/>
  <c r="O330" i="3"/>
  <c r="O188" i="3"/>
  <c r="P195" i="3"/>
  <c r="P188" i="3" s="1"/>
  <c r="P305" i="3"/>
  <c r="P297" i="3" s="1"/>
  <c r="O297" i="3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7" i="3"/>
  <c r="L236" i="3"/>
  <c r="R236" i="3"/>
  <c r="N236" i="3"/>
  <c r="T236" i="3"/>
  <c r="O236" i="3"/>
  <c r="H330" i="3"/>
  <c r="I236" i="3"/>
  <c r="M240" i="3"/>
  <c r="M229" i="3" s="1"/>
  <c r="L404" i="3"/>
  <c r="H236" i="3"/>
  <c r="N330" i="3"/>
  <c r="R330" i="3"/>
  <c r="H337" i="3"/>
  <c r="I330" i="3"/>
  <c r="J339" i="3"/>
  <c r="K339" i="3" s="1"/>
  <c r="I337" i="3"/>
  <c r="H404" i="3"/>
  <c r="S337" i="3"/>
  <c r="P339" i="3"/>
  <c r="S404" i="3"/>
  <c r="O337" i="3"/>
  <c r="R337" i="3"/>
  <c r="M339" i="3"/>
  <c r="T404" i="3"/>
  <c r="N404" i="3"/>
  <c r="I404" i="3"/>
  <c r="R404" i="3"/>
  <c r="L395" i="3"/>
  <c r="H395" i="3"/>
  <c r="J405" i="3"/>
  <c r="J395" i="3" s="1"/>
  <c r="O404" i="3"/>
  <c r="O395" i="3"/>
  <c r="P405" i="3"/>
  <c r="P395" i="3" s="1"/>
  <c r="L127" i="3"/>
  <c r="H11" i="3"/>
  <c r="H135" i="3"/>
  <c r="I135" i="3"/>
  <c r="N214" i="3"/>
  <c r="L135" i="3"/>
  <c r="J406" i="3"/>
  <c r="K406" i="3" s="1"/>
  <c r="O214" i="3"/>
  <c r="P406" i="3"/>
  <c r="T67" i="3"/>
  <c r="J123" i="3"/>
  <c r="K123" i="3" s="1"/>
  <c r="S214" i="3"/>
  <c r="O127" i="3"/>
  <c r="M373" i="3"/>
  <c r="N367" i="3"/>
  <c r="O135" i="3"/>
  <c r="I11" i="3"/>
  <c r="J80" i="3"/>
  <c r="K80" i="3" s="1"/>
  <c r="I244" i="3"/>
  <c r="T135" i="3"/>
  <c r="T68" i="3"/>
  <c r="I110" i="3"/>
  <c r="P123" i="3"/>
  <c r="S135" i="3"/>
  <c r="T214" i="3"/>
  <c r="L387" i="3"/>
  <c r="R121" i="3"/>
  <c r="T121" i="3"/>
  <c r="N101" i="3"/>
  <c r="N107" i="3"/>
  <c r="L129" i="3"/>
  <c r="M137" i="3"/>
  <c r="M129" i="3" s="1"/>
  <c r="L381" i="3"/>
  <c r="M388" i="3"/>
  <c r="M381" i="3" s="1"/>
  <c r="L67" i="3"/>
  <c r="M76" i="3"/>
  <c r="M67" i="3" s="1"/>
  <c r="L121" i="3"/>
  <c r="M122" i="3"/>
  <c r="H396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6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1" i="3"/>
  <c r="J388" i="3"/>
  <c r="J381" i="3" s="1"/>
  <c r="I396" i="3"/>
  <c r="J122" i="3"/>
  <c r="H121" i="3"/>
  <c r="I230" i="3"/>
  <c r="I241" i="3"/>
  <c r="L68" i="3"/>
  <c r="M77" i="3"/>
  <c r="M68" i="3" s="1"/>
  <c r="I121" i="3"/>
  <c r="I117" i="3" s="1"/>
  <c r="L396" i="3"/>
  <c r="J76" i="3"/>
  <c r="J67" i="3" s="1"/>
  <c r="H67" i="3"/>
  <c r="L114" i="3"/>
  <c r="M115" i="3"/>
  <c r="M114" i="3" s="1"/>
  <c r="I107" i="3"/>
  <c r="I101" i="3"/>
  <c r="R214" i="3"/>
  <c r="R107" i="3"/>
  <c r="R101" i="3"/>
  <c r="O381" i="3"/>
  <c r="P388" i="3"/>
  <c r="P381" i="3" s="1"/>
  <c r="O396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6" i="3"/>
  <c r="S107" i="3"/>
  <c r="S101" i="3"/>
  <c r="S396" i="3"/>
  <c r="O68" i="3"/>
  <c r="P77" i="3"/>
  <c r="P68" i="3" s="1"/>
  <c r="O101" i="3"/>
  <c r="P108" i="3"/>
  <c r="O107" i="3"/>
  <c r="S241" i="3"/>
  <c r="S230" i="3"/>
  <c r="T396" i="3"/>
  <c r="O12" i="3"/>
  <c r="N387" i="3"/>
  <c r="H387" i="3"/>
  <c r="L12" i="3"/>
  <c r="L11" i="3"/>
  <c r="O387" i="3"/>
  <c r="I387" i="3"/>
  <c r="H12" i="3"/>
  <c r="R387" i="3"/>
  <c r="I12" i="3"/>
  <c r="T11" i="3"/>
  <c r="T12" i="3"/>
  <c r="R12" i="3"/>
  <c r="R11" i="3"/>
  <c r="O11" i="3"/>
  <c r="S11" i="3"/>
  <c r="S12" i="3"/>
  <c r="N11" i="3"/>
  <c r="N12" i="3"/>
  <c r="O99" i="3"/>
  <c r="T387" i="3"/>
  <c r="S387" i="3"/>
  <c r="U275" i="3"/>
  <c r="P377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3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1" i="3"/>
  <c r="P365" i="3"/>
  <c r="U177" i="3"/>
  <c r="J246" i="3"/>
  <c r="K246" i="3" s="1"/>
  <c r="U171" i="3"/>
  <c r="I268" i="3"/>
  <c r="U168" i="3"/>
  <c r="U180" i="3"/>
  <c r="U162" i="3"/>
  <c r="P368" i="3"/>
  <c r="N356" i="3"/>
  <c r="U347" i="3"/>
  <c r="U341" i="3"/>
  <c r="U159" i="3"/>
  <c r="U344" i="3"/>
  <c r="U272" i="3"/>
  <c r="T244" i="3"/>
  <c r="U350" i="3"/>
  <c r="U218" i="3"/>
  <c r="I20" i="3"/>
  <c r="J369" i="3"/>
  <c r="K369" i="3" s="1"/>
  <c r="J78" i="3"/>
  <c r="S375" i="3"/>
  <c r="P78" i="3"/>
  <c r="P245" i="3"/>
  <c r="P237" i="3"/>
  <c r="P254" i="3"/>
  <c r="P234" i="3"/>
  <c r="N371" i="3"/>
  <c r="M238" i="3"/>
  <c r="P238" i="3"/>
  <c r="P27" i="3"/>
  <c r="N221" i="3"/>
  <c r="U221" i="3" s="1"/>
  <c r="P222" i="3"/>
  <c r="P221" i="3" s="1"/>
  <c r="P239" i="3"/>
  <c r="N25" i="3"/>
  <c r="J373" i="3"/>
  <c r="K373" i="3" s="1"/>
  <c r="N268" i="3"/>
  <c r="M369" i="3"/>
  <c r="M169" i="3"/>
  <c r="M168" i="3" s="1"/>
  <c r="L168" i="3"/>
  <c r="H171" i="3"/>
  <c r="J172" i="3"/>
  <c r="J171" i="3" s="1"/>
  <c r="L382" i="3"/>
  <c r="M389" i="3"/>
  <c r="M17" i="3"/>
  <c r="M266" i="3"/>
  <c r="M260" i="3" s="1"/>
  <c r="L260" i="3"/>
  <c r="L15" i="3"/>
  <c r="M16" i="3"/>
  <c r="H210" i="3"/>
  <c r="J215" i="3"/>
  <c r="L261" i="3"/>
  <c r="M270" i="3"/>
  <c r="M261" i="3" s="1"/>
  <c r="J198" i="3"/>
  <c r="M313" i="3"/>
  <c r="H275" i="3"/>
  <c r="J276" i="3"/>
  <c r="J275" i="3" s="1"/>
  <c r="I185" i="3"/>
  <c r="M361" i="3"/>
  <c r="L356" i="3"/>
  <c r="N34" i="3"/>
  <c r="N31" i="3"/>
  <c r="N29" i="3" s="1"/>
  <c r="G16" i="19" s="1"/>
  <c r="J338" i="3"/>
  <c r="P372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5" i="3"/>
  <c r="I359" i="3"/>
  <c r="L71" i="3"/>
  <c r="L141" i="3"/>
  <c r="M146" i="3"/>
  <c r="L145" i="3"/>
  <c r="N333" i="3"/>
  <c r="N329" i="3"/>
  <c r="I145" i="3"/>
  <c r="I141" i="3"/>
  <c r="I139" i="3" s="1"/>
  <c r="N363" i="3"/>
  <c r="M265" i="3"/>
  <c r="L264" i="3"/>
  <c r="I382" i="3"/>
  <c r="I379" i="3" s="1"/>
  <c r="L244" i="3"/>
  <c r="M245" i="3"/>
  <c r="J17" i="3"/>
  <c r="H118" i="3"/>
  <c r="J119" i="3"/>
  <c r="J118" i="3" s="1"/>
  <c r="H185" i="3"/>
  <c r="J192" i="3"/>
  <c r="H356" i="3"/>
  <c r="J361" i="3"/>
  <c r="K361" i="3" s="1"/>
  <c r="L341" i="3"/>
  <c r="M342" i="3"/>
  <c r="M341" i="3" s="1"/>
  <c r="H165" i="3"/>
  <c r="J166" i="3"/>
  <c r="J165" i="3" s="1"/>
  <c r="H367" i="3"/>
  <c r="J368" i="3"/>
  <c r="I250" i="3"/>
  <c r="I248" i="3" s="1"/>
  <c r="I253" i="3"/>
  <c r="L333" i="3"/>
  <c r="L329" i="3"/>
  <c r="M334" i="3"/>
  <c r="L383" i="3"/>
  <c r="M390" i="3"/>
  <c r="M383" i="3" s="1"/>
  <c r="N185" i="3"/>
  <c r="L54" i="3"/>
  <c r="M55" i="3"/>
  <c r="M54" i="3" s="1"/>
  <c r="M348" i="3"/>
  <c r="M347" i="3" s="1"/>
  <c r="L347" i="3"/>
  <c r="M194" i="3"/>
  <c r="H272" i="3"/>
  <c r="J273" i="3"/>
  <c r="J272" i="3" s="1"/>
  <c r="M80" i="3"/>
  <c r="M71" i="3" s="1"/>
  <c r="N71" i="3"/>
  <c r="L45" i="3"/>
  <c r="H70" i="3"/>
  <c r="J202" i="3"/>
  <c r="J309" i="3"/>
  <c r="J364" i="3"/>
  <c r="H363" i="3"/>
  <c r="M198" i="3"/>
  <c r="N42" i="3"/>
  <c r="N39" i="3"/>
  <c r="N37" i="3" s="1"/>
  <c r="G11" i="26" s="1"/>
  <c r="I233" i="3"/>
  <c r="I227" i="3"/>
  <c r="N359" i="3"/>
  <c r="N355" i="3"/>
  <c r="I85" i="3"/>
  <c r="I83" i="3" s="1"/>
  <c r="I283" i="3"/>
  <c r="I281" i="3" s="1"/>
  <c r="I287" i="3"/>
  <c r="J360" i="3"/>
  <c r="K360" i="3" s="1"/>
  <c r="H359" i="3"/>
  <c r="H355" i="3"/>
  <c r="M302" i="3"/>
  <c r="L293" i="3"/>
  <c r="L142" i="3"/>
  <c r="M147" i="3"/>
  <c r="M142" i="3" s="1"/>
  <c r="J377" i="3"/>
  <c r="K377" i="3" s="1"/>
  <c r="M215" i="3"/>
  <c r="L210" i="3"/>
  <c r="M309" i="3"/>
  <c r="L375" i="3"/>
  <c r="M376" i="3"/>
  <c r="M21" i="3"/>
  <c r="L20" i="3"/>
  <c r="H48" i="3"/>
  <c r="J49" i="3"/>
  <c r="J48" i="3" s="1"/>
  <c r="H145" i="3"/>
  <c r="H141" i="3"/>
  <c r="J146" i="3"/>
  <c r="H218" i="3"/>
  <c r="J219" i="3"/>
  <c r="J218" i="3" s="1"/>
  <c r="M377" i="3"/>
  <c r="I367" i="3"/>
  <c r="M202" i="3"/>
  <c r="H264" i="3"/>
  <c r="J265" i="3"/>
  <c r="N264" i="3"/>
  <c r="L155" i="3"/>
  <c r="L151" i="3"/>
  <c r="M156" i="3"/>
  <c r="H260" i="3"/>
  <c r="J266" i="3"/>
  <c r="J260" i="3" s="1"/>
  <c r="I329" i="3"/>
  <c r="I333" i="3"/>
  <c r="M351" i="3"/>
  <c r="M350" i="3" s="1"/>
  <c r="L350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3" i="3"/>
  <c r="M364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1" i="3"/>
  <c r="J372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0" i="3"/>
  <c r="J351" i="3"/>
  <c r="N85" i="3"/>
  <c r="H15" i="3"/>
  <c r="J16" i="3"/>
  <c r="H72" i="3"/>
  <c r="J194" i="3"/>
  <c r="H42" i="3"/>
  <c r="J43" i="3"/>
  <c r="H39" i="3"/>
  <c r="H37" i="3" s="1"/>
  <c r="L344" i="3"/>
  <c r="M345" i="3"/>
  <c r="M344" i="3" s="1"/>
  <c r="L177" i="3"/>
  <c r="M178" i="3"/>
  <c r="M177" i="3" s="1"/>
  <c r="I356" i="3"/>
  <c r="H253" i="3"/>
  <c r="H250" i="3"/>
  <c r="H248" i="3" s="1"/>
  <c r="J254" i="3"/>
  <c r="K254" i="3" s="1"/>
  <c r="J342" i="3"/>
  <c r="J341" i="3" s="1"/>
  <c r="I341" i="3"/>
  <c r="M26" i="3"/>
  <c r="L25" i="3"/>
  <c r="M90" i="3"/>
  <c r="L85" i="3"/>
  <c r="M239" i="3"/>
  <c r="J317" i="3"/>
  <c r="J90" i="3"/>
  <c r="H85" i="3"/>
  <c r="H83" i="3" s="1"/>
  <c r="L69" i="3"/>
  <c r="M78" i="3"/>
  <c r="H268" i="3"/>
  <c r="J269" i="3"/>
  <c r="I15" i="3"/>
  <c r="L283" i="3"/>
  <c r="M288" i="3"/>
  <c r="L287" i="3"/>
  <c r="M372" i="3"/>
  <c r="L371" i="3"/>
  <c r="H51" i="3"/>
  <c r="J52" i="3"/>
  <c r="H155" i="3"/>
  <c r="J156" i="3"/>
  <c r="H151" i="3"/>
  <c r="H384" i="3"/>
  <c r="J391" i="3"/>
  <c r="J384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5" i="3"/>
  <c r="K365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5" i="3"/>
  <c r="M360" i="3"/>
  <c r="L359" i="3"/>
  <c r="L118" i="3"/>
  <c r="M119" i="3"/>
  <c r="M118" i="3" s="1"/>
  <c r="M234" i="3"/>
  <c r="L233" i="3"/>
  <c r="L227" i="3"/>
  <c r="J334" i="3"/>
  <c r="K334" i="3" s="1"/>
  <c r="H329" i="3"/>
  <c r="H333" i="3"/>
  <c r="N382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4" i="3"/>
  <c r="M391" i="3"/>
  <c r="M384" i="3" s="1"/>
  <c r="M192" i="3"/>
  <c r="L185" i="3"/>
  <c r="H159" i="3"/>
  <c r="J160" i="3"/>
  <c r="J159" i="3" s="1"/>
  <c r="N253" i="3"/>
  <c r="N250" i="3"/>
  <c r="N248" i="3" s="1"/>
  <c r="G18" i="26" s="1"/>
  <c r="J345" i="3"/>
  <c r="H344" i="3"/>
  <c r="M365" i="3"/>
  <c r="H233" i="3"/>
  <c r="H227" i="3"/>
  <c r="J234" i="3"/>
  <c r="K234" i="3" s="1"/>
  <c r="I104" i="3"/>
  <c r="N375" i="3"/>
  <c r="H71" i="3"/>
  <c r="I155" i="3"/>
  <c r="I151" i="3"/>
  <c r="I149" i="3" s="1"/>
  <c r="J237" i="3"/>
  <c r="H226" i="3"/>
  <c r="M335" i="3"/>
  <c r="J389" i="3"/>
  <c r="H382" i="3"/>
  <c r="J157" i="3"/>
  <c r="J152" i="3" s="1"/>
  <c r="H152" i="3"/>
  <c r="L284" i="3"/>
  <c r="M289" i="3"/>
  <c r="M284" i="3" s="1"/>
  <c r="I210" i="3"/>
  <c r="I208" i="3" s="1"/>
  <c r="M317" i="3"/>
  <c r="H25" i="3"/>
  <c r="M368" i="3"/>
  <c r="L367" i="3"/>
  <c r="H347" i="3"/>
  <c r="J348" i="3"/>
  <c r="J347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5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3" i="3"/>
  <c r="L39" i="3"/>
  <c r="L37" i="3" s="1"/>
  <c r="E11" i="26" s="1"/>
  <c r="M43" i="3"/>
  <c r="L42" i="3"/>
  <c r="L152" i="3"/>
  <c r="M157" i="3"/>
  <c r="M152" i="3" s="1"/>
  <c r="N233" i="3"/>
  <c r="N227" i="3"/>
  <c r="J335" i="3"/>
  <c r="H383" i="3"/>
  <c r="J390" i="3"/>
  <c r="J383" i="3" s="1"/>
  <c r="L171" i="3"/>
  <c r="M172" i="3"/>
  <c r="M171" i="3" s="1"/>
  <c r="M133" i="3"/>
  <c r="M237" i="3"/>
  <c r="L226" i="3"/>
  <c r="N15" i="3"/>
  <c r="J94" i="3"/>
  <c r="J93" i="3" s="1"/>
  <c r="M338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6" i="3"/>
  <c r="H375" i="3"/>
  <c r="L221" i="3"/>
  <c r="M222" i="3"/>
  <c r="M221" i="3" s="1"/>
  <c r="S25" i="3"/>
  <c r="R25" i="3"/>
  <c r="R20" i="3"/>
  <c r="R367" i="3"/>
  <c r="R375" i="3"/>
  <c r="T363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6" i="3"/>
  <c r="O375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5" i="3"/>
  <c r="S283" i="3"/>
  <c r="S281" i="3" s="1"/>
  <c r="M20" i="26" s="1"/>
  <c r="S287" i="3"/>
  <c r="T62" i="3"/>
  <c r="T59" i="3"/>
  <c r="T57" i="3" s="1"/>
  <c r="O18" i="19" s="1"/>
  <c r="O347" i="3"/>
  <c r="P348" i="3"/>
  <c r="P347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6" i="3"/>
  <c r="O155" i="3"/>
  <c r="O151" i="3"/>
  <c r="P156" i="3"/>
  <c r="O244" i="3"/>
  <c r="O51" i="3"/>
  <c r="P52" i="3"/>
  <c r="P51" i="3" s="1"/>
  <c r="P246" i="3"/>
  <c r="O371" i="3"/>
  <c r="P373" i="3"/>
  <c r="O45" i="3"/>
  <c r="P46" i="3"/>
  <c r="P45" i="3" s="1"/>
  <c r="O152" i="3"/>
  <c r="P157" i="3"/>
  <c r="P152" i="3" s="1"/>
  <c r="O261" i="3"/>
  <c r="P270" i="3"/>
  <c r="P261" i="3" s="1"/>
  <c r="O367" i="3"/>
  <c r="P369" i="3"/>
  <c r="O344" i="3"/>
  <c r="P345" i="3"/>
  <c r="P344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7" i="3"/>
  <c r="T25" i="3"/>
  <c r="O272" i="3"/>
  <c r="P273" i="3"/>
  <c r="P272" i="3" s="1"/>
  <c r="R329" i="3"/>
  <c r="R333" i="3"/>
  <c r="O165" i="3"/>
  <c r="P166" i="3"/>
  <c r="P165" i="3" s="1"/>
  <c r="R268" i="3"/>
  <c r="P360" i="3"/>
  <c r="O359" i="3"/>
  <c r="O355" i="3"/>
  <c r="R382" i="3"/>
  <c r="R379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59" i="3"/>
  <c r="R355" i="3"/>
  <c r="S268" i="3"/>
  <c r="T268" i="3"/>
  <c r="R363" i="3"/>
  <c r="P364" i="3"/>
  <c r="O363" i="3"/>
  <c r="O293" i="3"/>
  <c r="P302" i="3"/>
  <c r="T333" i="3"/>
  <c r="T329" i="3"/>
  <c r="S382" i="3"/>
  <c r="S379" i="3" s="1"/>
  <c r="M24" i="26" s="1"/>
  <c r="S329" i="3"/>
  <c r="S333" i="3"/>
  <c r="S185" i="3"/>
  <c r="T293" i="3"/>
  <c r="T355" i="3"/>
  <c r="T359" i="3"/>
  <c r="O168" i="3"/>
  <c r="P169" i="3"/>
  <c r="P168" i="3" s="1"/>
  <c r="O253" i="3"/>
  <c r="O250" i="3"/>
  <c r="O248" i="3" s="1"/>
  <c r="H18" i="26" s="1"/>
  <c r="R85" i="3"/>
  <c r="R83" i="3" s="1"/>
  <c r="K12" i="19" s="1"/>
  <c r="T367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P93" i="3"/>
  <c r="S363" i="3"/>
  <c r="R62" i="3"/>
  <c r="R59" i="3"/>
  <c r="R57" i="3" s="1"/>
  <c r="K18" i="19" s="1"/>
  <c r="P198" i="3"/>
  <c r="S371" i="3"/>
  <c r="O70" i="3"/>
  <c r="P79" i="3"/>
  <c r="P70" i="3" s="1"/>
  <c r="R210" i="3"/>
  <c r="R208" i="3" s="1"/>
  <c r="K16" i="26" s="1"/>
  <c r="O382" i="3"/>
  <c r="P389" i="3"/>
  <c r="O171" i="3"/>
  <c r="P172" i="3"/>
  <c r="P171" i="3" s="1"/>
  <c r="R15" i="3"/>
  <c r="S226" i="3"/>
  <c r="P338" i="3"/>
  <c r="O356" i="3"/>
  <c r="P361" i="3"/>
  <c r="S264" i="3"/>
  <c r="O275" i="3"/>
  <c r="P276" i="3"/>
  <c r="P275" i="3" s="1"/>
  <c r="O59" i="3"/>
  <c r="O57" i="3" s="1"/>
  <c r="H18" i="19" s="1"/>
  <c r="O62" i="3"/>
  <c r="P63" i="3"/>
  <c r="T69" i="3"/>
  <c r="S355" i="3"/>
  <c r="S359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5" i="3"/>
  <c r="O72" i="3"/>
  <c r="P81" i="3"/>
  <c r="P72" i="3" s="1"/>
  <c r="O218" i="3"/>
  <c r="P219" i="3"/>
  <c r="P218" i="3" s="1"/>
  <c r="P313" i="3"/>
  <c r="S367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6" i="3"/>
  <c r="S15" i="3"/>
  <c r="S69" i="3"/>
  <c r="O48" i="3"/>
  <c r="P49" i="3"/>
  <c r="P48" i="3" s="1"/>
  <c r="R145" i="3"/>
  <c r="R141" i="3"/>
  <c r="R139" i="3" s="1"/>
  <c r="K13" i="26" s="1"/>
  <c r="O341" i="3"/>
  <c r="P342" i="3"/>
  <c r="P341" i="3" s="1"/>
  <c r="R39" i="3"/>
  <c r="R37" i="3" s="1"/>
  <c r="K11" i="26" s="1"/>
  <c r="R42" i="3"/>
  <c r="R151" i="3"/>
  <c r="R149" i="3" s="1"/>
  <c r="K14" i="26" s="1"/>
  <c r="R155" i="3"/>
  <c r="R264" i="3"/>
  <c r="R371" i="3"/>
  <c r="R31" i="3"/>
  <c r="R29" i="3" s="1"/>
  <c r="K16" i="19" s="1"/>
  <c r="R34" i="3"/>
  <c r="R287" i="3"/>
  <c r="R283" i="3"/>
  <c r="R281" i="3" s="1"/>
  <c r="K20" i="26" s="1"/>
  <c r="P265" i="3"/>
  <c r="O264" i="3"/>
  <c r="O350" i="3"/>
  <c r="P351" i="3"/>
  <c r="P350" i="3" s="1"/>
  <c r="T382" i="3"/>
  <c r="T379" i="3" s="1"/>
  <c r="O24" i="26" s="1"/>
  <c r="O15" i="3"/>
  <c r="P16" i="3"/>
  <c r="O287" i="3"/>
  <c r="P288" i="3"/>
  <c r="O283" i="3"/>
  <c r="S356" i="3"/>
  <c r="O174" i="3"/>
  <c r="P175" i="3"/>
  <c r="P174" i="3" s="1"/>
  <c r="S293" i="3"/>
  <c r="T185" i="3"/>
  <c r="O329" i="3"/>
  <c r="O333" i="3"/>
  <c r="P334" i="3"/>
  <c r="O260" i="3"/>
  <c r="P266" i="3"/>
  <c r="P260" i="3" s="1"/>
  <c r="P215" i="3"/>
  <c r="O210" i="3"/>
  <c r="P390" i="3"/>
  <c r="P383" i="3" s="1"/>
  <c r="O383" i="3"/>
  <c r="T155" i="3"/>
  <c r="T151" i="3"/>
  <c r="T149" i="3" s="1"/>
  <c r="O14" i="26" s="1"/>
  <c r="T210" i="3"/>
  <c r="T208" i="3" s="1"/>
  <c r="O16" i="26" s="1"/>
  <c r="P309" i="3"/>
  <c r="O384" i="3"/>
  <c r="P391" i="3"/>
  <c r="P384" i="3" s="1"/>
  <c r="O42" i="3"/>
  <c r="P43" i="3"/>
  <c r="O39" i="3"/>
  <c r="O37" i="3" s="1"/>
  <c r="H11" i="26" s="1"/>
  <c r="T397" i="3"/>
  <c r="I397" i="3"/>
  <c r="L397" i="3"/>
  <c r="S397" i="3"/>
  <c r="H397" i="3"/>
  <c r="H401" i="3"/>
  <c r="N397" i="3"/>
  <c r="O397" i="3"/>
  <c r="R397" i="3"/>
  <c r="T20" i="28"/>
  <c r="R16" i="28"/>
  <c r="V16" i="28"/>
  <c r="T16" i="28"/>
  <c r="V20" i="28"/>
  <c r="V11" i="27"/>
  <c r="P11" i="27"/>
  <c r="T11" i="27"/>
  <c r="S411" i="3"/>
  <c r="T16" i="27"/>
  <c r="R16" i="27"/>
  <c r="V12" i="28"/>
  <c r="R13" i="28"/>
  <c r="R12" i="28"/>
  <c r="V13" i="28"/>
  <c r="S414" i="3"/>
  <c r="T408" i="3"/>
  <c r="R15" i="27"/>
  <c r="V14" i="27"/>
  <c r="T411" i="3"/>
  <c r="O411" i="3"/>
  <c r="R411" i="3"/>
  <c r="R13" i="27"/>
  <c r="L411" i="3"/>
  <c r="R414" i="3"/>
  <c r="I411" i="3"/>
  <c r="L414" i="3"/>
  <c r="T414" i="3"/>
  <c r="I414" i="3"/>
  <c r="N414" i="3"/>
  <c r="O414" i="3"/>
  <c r="L408" i="3"/>
  <c r="O408" i="3"/>
  <c r="N411" i="3"/>
  <c r="P403" i="3"/>
  <c r="P398" i="3" s="1"/>
  <c r="J403" i="3"/>
  <c r="J398" i="3" s="1"/>
  <c r="M403" i="3"/>
  <c r="M398" i="3" s="1"/>
  <c r="R408" i="3"/>
  <c r="S408" i="3"/>
  <c r="N408" i="3"/>
  <c r="I408" i="3"/>
  <c r="R14" i="27"/>
  <c r="R20" i="28"/>
  <c r="V13" i="27"/>
  <c r="T13" i="28"/>
  <c r="T12" i="28"/>
  <c r="T401" i="3"/>
  <c r="S401" i="3"/>
  <c r="V16" i="27"/>
  <c r="O401" i="3"/>
  <c r="R11" i="27"/>
  <c r="R401" i="3"/>
  <c r="P13" i="27"/>
  <c r="V15" i="27"/>
  <c r="T13" i="27"/>
  <c r="T14" i="27"/>
  <c r="T15" i="27"/>
  <c r="I401" i="3"/>
  <c r="N401" i="3"/>
  <c r="L401" i="3"/>
  <c r="M415" i="3"/>
  <c r="P412" i="3"/>
  <c r="O17" i="28"/>
  <c r="P402" i="3"/>
  <c r="J412" i="3"/>
  <c r="P409" i="3"/>
  <c r="P415" i="3"/>
  <c r="J415" i="3"/>
  <c r="J409" i="3"/>
  <c r="J402" i="3"/>
  <c r="M412" i="3"/>
  <c r="M409" i="3"/>
  <c r="M402" i="3"/>
  <c r="M93" i="3" l="1"/>
  <c r="H291" i="3"/>
  <c r="I291" i="3"/>
  <c r="L291" i="3"/>
  <c r="E21" i="26" s="1"/>
  <c r="U323" i="3"/>
  <c r="K323" i="3"/>
  <c r="K296" i="3"/>
  <c r="M296" i="3"/>
  <c r="M323" i="3"/>
  <c r="J323" i="3"/>
  <c r="J296" i="3"/>
  <c r="P323" i="3"/>
  <c r="P296" i="3"/>
  <c r="J201" i="3"/>
  <c r="S291" i="3"/>
  <c r="M21" i="26" s="1"/>
  <c r="J308" i="3"/>
  <c r="J312" i="3"/>
  <c r="J294" i="3"/>
  <c r="U312" i="3"/>
  <c r="P201" i="3"/>
  <c r="J316" i="3"/>
  <c r="U197" i="3"/>
  <c r="P316" i="3"/>
  <c r="K206" i="3"/>
  <c r="K205" i="3" s="1"/>
  <c r="J20" i="3"/>
  <c r="J187" i="3"/>
  <c r="I183" i="3"/>
  <c r="P197" i="3"/>
  <c r="P186" i="3"/>
  <c r="T183" i="3"/>
  <c r="O15" i="26" s="1"/>
  <c r="T291" i="3"/>
  <c r="O21" i="26" s="1"/>
  <c r="P308" i="3"/>
  <c r="U316" i="3"/>
  <c r="S183" i="3"/>
  <c r="M15" i="26" s="1"/>
  <c r="P312" i="3"/>
  <c r="J197" i="3"/>
  <c r="J186" i="3"/>
  <c r="J295" i="3"/>
  <c r="P294" i="3"/>
  <c r="M201" i="3"/>
  <c r="U201" i="3"/>
  <c r="R183" i="3"/>
  <c r="K15" i="26" s="1"/>
  <c r="R291" i="3"/>
  <c r="K21" i="26" s="1"/>
  <c r="M312" i="3"/>
  <c r="N291" i="3"/>
  <c r="G21" i="26" s="1"/>
  <c r="M295" i="3"/>
  <c r="M186" i="3"/>
  <c r="M197" i="3"/>
  <c r="P187" i="3"/>
  <c r="M294" i="3"/>
  <c r="M187" i="3"/>
  <c r="M308" i="3"/>
  <c r="M316" i="3"/>
  <c r="K279" i="3"/>
  <c r="K278" i="3" s="1"/>
  <c r="K321" i="3"/>
  <c r="K320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7" i="3"/>
  <c r="O22" i="26" s="1"/>
  <c r="T131" i="3"/>
  <c r="S327" i="3"/>
  <c r="M22" i="26" s="1"/>
  <c r="K305" i="3"/>
  <c r="K297" i="3" s="1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7" i="3"/>
  <c r="R327" i="3"/>
  <c r="K22" i="26" s="1"/>
  <c r="I327" i="3"/>
  <c r="N327" i="3"/>
  <c r="G22" i="26" s="1"/>
  <c r="J337" i="3"/>
  <c r="M337" i="3"/>
  <c r="P236" i="3"/>
  <c r="M236" i="3"/>
  <c r="H235" i="3"/>
  <c r="J330" i="3"/>
  <c r="M330" i="3"/>
  <c r="H9" i="3"/>
  <c r="P337" i="3"/>
  <c r="P330" i="3"/>
  <c r="U404" i="3"/>
  <c r="M404" i="3"/>
  <c r="K405" i="3"/>
  <c r="K395" i="3" s="1"/>
  <c r="J404" i="3"/>
  <c r="L393" i="3"/>
  <c r="E25" i="26" s="1"/>
  <c r="I393" i="3"/>
  <c r="H393" i="3"/>
  <c r="P404" i="3"/>
  <c r="O393" i="3"/>
  <c r="H25" i="26" s="1"/>
  <c r="R393" i="3"/>
  <c r="K25" i="26" s="1"/>
  <c r="T393" i="3"/>
  <c r="O25" i="26" s="1"/>
  <c r="S393" i="3"/>
  <c r="M25" i="26" s="1"/>
  <c r="N393" i="3"/>
  <c r="G25" i="26" s="1"/>
  <c r="H208" i="3"/>
  <c r="U241" i="3"/>
  <c r="R103" i="3"/>
  <c r="R117" i="3"/>
  <c r="I103" i="3"/>
  <c r="J121" i="3"/>
  <c r="J117" i="3" s="1"/>
  <c r="I9" i="3"/>
  <c r="U367" i="3"/>
  <c r="J71" i="3"/>
  <c r="H110" i="3"/>
  <c r="I235" i="3"/>
  <c r="M371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6" i="3"/>
  <c r="M135" i="3"/>
  <c r="M396" i="3"/>
  <c r="M121" i="3"/>
  <c r="M117" i="3" s="1"/>
  <c r="K388" i="3"/>
  <c r="K381" i="3" s="1"/>
  <c r="J230" i="3"/>
  <c r="J241" i="3"/>
  <c r="S9" i="3"/>
  <c r="M17" i="19" s="1"/>
  <c r="K122" i="3"/>
  <c r="K121" i="3" s="1"/>
  <c r="K137" i="3"/>
  <c r="K129" i="3" s="1"/>
  <c r="P396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79" i="3"/>
  <c r="E24" i="26" s="1"/>
  <c r="H379" i="3"/>
  <c r="K16" i="3"/>
  <c r="J11" i="3"/>
  <c r="J387" i="3"/>
  <c r="T9" i="3"/>
  <c r="O17" i="19" s="1"/>
  <c r="H65" i="3"/>
  <c r="P11" i="3"/>
  <c r="M12" i="3"/>
  <c r="M11" i="3"/>
  <c r="P375" i="3"/>
  <c r="O9" i="3"/>
  <c r="H17" i="19" s="1"/>
  <c r="O379" i="3"/>
  <c r="H24" i="26" s="1"/>
  <c r="P387" i="3"/>
  <c r="N379" i="3"/>
  <c r="G24" i="26" s="1"/>
  <c r="N24" i="26" s="1"/>
  <c r="M387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38" i="3"/>
  <c r="K337" i="3" s="1"/>
  <c r="M127" i="3"/>
  <c r="M125" i="3" s="1"/>
  <c r="P127" i="3"/>
  <c r="P125" i="3" s="1"/>
  <c r="K136" i="3"/>
  <c r="K105" i="3"/>
  <c r="K133" i="3"/>
  <c r="J127" i="3"/>
  <c r="J125" i="3" s="1"/>
  <c r="P363" i="3"/>
  <c r="K276" i="3"/>
  <c r="K275" i="3" s="1"/>
  <c r="J11" i="26"/>
  <c r="K391" i="3"/>
  <c r="K384" i="3" s="1"/>
  <c r="N353" i="3"/>
  <c r="G23" i="26" s="1"/>
  <c r="P367" i="3"/>
  <c r="U268" i="3"/>
  <c r="U333" i="3"/>
  <c r="J18" i="26"/>
  <c r="U248" i="3"/>
  <c r="U253" i="3"/>
  <c r="U371" i="3"/>
  <c r="U155" i="3"/>
  <c r="U139" i="3"/>
  <c r="U149" i="3"/>
  <c r="U363" i="3"/>
  <c r="U401" i="3"/>
  <c r="U191" i="3"/>
  <c r="U29" i="3"/>
  <c r="U37" i="3"/>
  <c r="J16" i="19"/>
  <c r="U57" i="3"/>
  <c r="K112" i="3"/>
  <c r="K111" i="3" s="1"/>
  <c r="U411" i="3"/>
  <c r="J18" i="19"/>
  <c r="K222" i="3"/>
  <c r="K221" i="3" s="1"/>
  <c r="J268" i="3"/>
  <c r="K25" i="3"/>
  <c r="U214" i="3"/>
  <c r="U301" i="3"/>
  <c r="U264" i="3"/>
  <c r="U408" i="3"/>
  <c r="U233" i="3"/>
  <c r="U375" i="3"/>
  <c r="U257" i="3"/>
  <c r="U89" i="3"/>
  <c r="U359" i="3"/>
  <c r="K172" i="3"/>
  <c r="K171" i="3" s="1"/>
  <c r="U281" i="3"/>
  <c r="U244" i="3"/>
  <c r="K239" i="3"/>
  <c r="K228" i="3" s="1"/>
  <c r="U387" i="3"/>
  <c r="K49" i="3"/>
  <c r="K48" i="3" s="1"/>
  <c r="U287" i="3"/>
  <c r="U414" i="3"/>
  <c r="P25" i="3"/>
  <c r="P356" i="3"/>
  <c r="K72" i="3"/>
  <c r="P371" i="3"/>
  <c r="L353" i="3"/>
  <c r="E23" i="26" s="1"/>
  <c r="M268" i="3"/>
  <c r="P20" i="3"/>
  <c r="K198" i="3"/>
  <c r="K197" i="3" s="1"/>
  <c r="K119" i="3"/>
  <c r="K118" i="3" s="1"/>
  <c r="M25" i="3"/>
  <c r="M367" i="3"/>
  <c r="K309" i="3"/>
  <c r="K308" i="3" s="1"/>
  <c r="K303" i="3"/>
  <c r="K294" i="3" s="1"/>
  <c r="L224" i="3"/>
  <c r="E17" i="26" s="1"/>
  <c r="I224" i="3"/>
  <c r="L139" i="3"/>
  <c r="E13" i="26" s="1"/>
  <c r="K71" i="3"/>
  <c r="K335" i="3"/>
  <c r="K330" i="3" s="1"/>
  <c r="K21" i="3"/>
  <c r="K20" i="3" s="1"/>
  <c r="K178" i="3"/>
  <c r="K177" i="3" s="1"/>
  <c r="H281" i="3"/>
  <c r="K55" i="3"/>
  <c r="K54" i="3" s="1"/>
  <c r="K356" i="3"/>
  <c r="J25" i="3"/>
  <c r="K313" i="3"/>
  <c r="K312" i="3" s="1"/>
  <c r="K233" i="3"/>
  <c r="K376" i="3"/>
  <c r="K375" i="3" s="1"/>
  <c r="J375" i="3"/>
  <c r="K157" i="3"/>
  <c r="K152" i="3" s="1"/>
  <c r="H327" i="3"/>
  <c r="M104" i="3"/>
  <c r="J104" i="3"/>
  <c r="M363" i="3"/>
  <c r="M155" i="3"/>
  <c r="M151" i="3"/>
  <c r="M149" i="3" s="1"/>
  <c r="F14" i="26" s="1"/>
  <c r="H257" i="3"/>
  <c r="M293" i="3"/>
  <c r="K194" i="3"/>
  <c r="L327" i="3"/>
  <c r="E22" i="26" s="1"/>
  <c r="K266" i="3"/>
  <c r="K260" i="3" s="1"/>
  <c r="J293" i="3"/>
  <c r="N224" i="3"/>
  <c r="G17" i="26" s="1"/>
  <c r="M31" i="3"/>
  <c r="M29" i="3" s="1"/>
  <c r="F16" i="19" s="1"/>
  <c r="M34" i="3"/>
  <c r="M382" i="3"/>
  <c r="J69" i="3"/>
  <c r="J264" i="3"/>
  <c r="M329" i="3"/>
  <c r="M333" i="3"/>
  <c r="J185" i="3"/>
  <c r="K163" i="3"/>
  <c r="K162" i="3" s="1"/>
  <c r="J382" i="3"/>
  <c r="J329" i="3"/>
  <c r="J333" i="3"/>
  <c r="K166" i="3"/>
  <c r="K165" i="3" s="1"/>
  <c r="K283" i="3"/>
  <c r="M69" i="3"/>
  <c r="K351" i="3"/>
  <c r="K350" i="3" s="1"/>
  <c r="J350" i="3"/>
  <c r="K181" i="3"/>
  <c r="K180" i="3" s="1"/>
  <c r="L149" i="3"/>
  <c r="E14" i="26" s="1"/>
  <c r="J145" i="3"/>
  <c r="J141" i="3"/>
  <c r="J139" i="3" s="1"/>
  <c r="C13" i="26" s="1"/>
  <c r="M20" i="3"/>
  <c r="M210" i="3"/>
  <c r="K342" i="3"/>
  <c r="K341" i="3" s="1"/>
  <c r="K265" i="3"/>
  <c r="I353" i="3"/>
  <c r="K245" i="3"/>
  <c r="K244" i="3" s="1"/>
  <c r="J244" i="3"/>
  <c r="M356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5" i="3"/>
  <c r="H353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59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2" i="3"/>
  <c r="K371" i="3" s="1"/>
  <c r="J371" i="3"/>
  <c r="K147" i="3"/>
  <c r="K142" i="3" s="1"/>
  <c r="K364" i="3"/>
  <c r="K363" i="3" s="1"/>
  <c r="J363" i="3"/>
  <c r="K348" i="3"/>
  <c r="K347" i="3" s="1"/>
  <c r="K390" i="3"/>
  <c r="K383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59" i="3"/>
  <c r="J355" i="3"/>
  <c r="K368" i="3"/>
  <c r="K367" i="3" s="1"/>
  <c r="J367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7" i="3"/>
  <c r="K316" i="3" s="1"/>
  <c r="K345" i="3"/>
  <c r="K344" i="3" s="1"/>
  <c r="J344" i="3"/>
  <c r="M185" i="3"/>
  <c r="M233" i="3"/>
  <c r="M227" i="3"/>
  <c r="M355" i="3"/>
  <c r="M359" i="3"/>
  <c r="K52" i="3"/>
  <c r="K51" i="3" s="1"/>
  <c r="J51" i="3"/>
  <c r="M85" i="3"/>
  <c r="J253" i="3"/>
  <c r="J250" i="3"/>
  <c r="J248" i="3" s="1"/>
  <c r="C18" i="26" s="1"/>
  <c r="J15" i="3"/>
  <c r="J356" i="3"/>
  <c r="M244" i="3"/>
  <c r="K35" i="3"/>
  <c r="M15" i="3"/>
  <c r="K389" i="3"/>
  <c r="R353" i="3"/>
  <c r="K23" i="26" s="1"/>
  <c r="P268" i="3"/>
  <c r="P244" i="3"/>
  <c r="O327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3" i="3"/>
  <c r="O23" i="26" s="1"/>
  <c r="P15" i="3"/>
  <c r="P264" i="3"/>
  <c r="P85" i="3"/>
  <c r="P83" i="3" s="1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3" i="3"/>
  <c r="H23" i="26" s="1"/>
  <c r="P141" i="3"/>
  <c r="P139" i="3" s="1"/>
  <c r="P145" i="3"/>
  <c r="P329" i="3"/>
  <c r="P333" i="3"/>
  <c r="P382" i="3"/>
  <c r="P379" i="3" s="1"/>
  <c r="P210" i="3"/>
  <c r="P208" i="3" s="1"/>
  <c r="P185" i="3"/>
  <c r="P359" i="3"/>
  <c r="P355" i="3"/>
  <c r="P31" i="3"/>
  <c r="P29" i="3" s="1"/>
  <c r="P34" i="3"/>
  <c r="P233" i="3"/>
  <c r="P227" i="3"/>
  <c r="P293" i="3"/>
  <c r="O281" i="3"/>
  <c r="H20" i="26" s="1"/>
  <c r="J20" i="26" s="1"/>
  <c r="S353" i="3"/>
  <c r="M23" i="26" s="1"/>
  <c r="P253" i="3"/>
  <c r="P250" i="3"/>
  <c r="P248" i="3" s="1"/>
  <c r="P226" i="3"/>
  <c r="P287" i="3"/>
  <c r="P283" i="3"/>
  <c r="P281" i="3" s="1"/>
  <c r="J397" i="3"/>
  <c r="P397" i="3"/>
  <c r="M39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1" i="3"/>
  <c r="R19" i="28"/>
  <c r="T19" i="28"/>
  <c r="J414" i="3"/>
  <c r="P414" i="3"/>
  <c r="M414" i="3"/>
  <c r="M411" i="3"/>
  <c r="K14" i="27"/>
  <c r="J411" i="3"/>
  <c r="J408" i="3"/>
  <c r="K403" i="3"/>
  <c r="K398" i="3" s="1"/>
  <c r="M408" i="3"/>
  <c r="P408" i="3"/>
  <c r="V17" i="27"/>
  <c r="T17" i="27"/>
  <c r="R22" i="28"/>
  <c r="V12" i="27"/>
  <c r="V22" i="28"/>
  <c r="R17" i="27"/>
  <c r="P12" i="28"/>
  <c r="T21" i="28"/>
  <c r="P16" i="28"/>
  <c r="P22" i="28"/>
  <c r="T12" i="27"/>
  <c r="J401" i="3"/>
  <c r="R21" i="28"/>
  <c r="T22" i="28"/>
  <c r="V21" i="28"/>
  <c r="P12" i="27"/>
  <c r="P13" i="28"/>
  <c r="M401" i="3"/>
  <c r="P401" i="3"/>
  <c r="K412" i="3"/>
  <c r="K411" i="3" s="1"/>
  <c r="K409" i="3"/>
  <c r="K408" i="3" s="1"/>
  <c r="L18" i="27"/>
  <c r="K15" i="27"/>
  <c r="O13" i="28"/>
  <c r="L14" i="27"/>
  <c r="O16" i="28"/>
  <c r="N14" i="27"/>
  <c r="M20" i="28"/>
  <c r="K18" i="27"/>
  <c r="K415" i="3"/>
  <c r="K414" i="3" s="1"/>
  <c r="M12" i="28"/>
  <c r="M18" i="27"/>
  <c r="M16" i="28"/>
  <c r="K13" i="27"/>
  <c r="N18" i="27"/>
  <c r="N13" i="27"/>
  <c r="M13" i="28"/>
  <c r="O12" i="28"/>
  <c r="O18" i="27"/>
  <c r="N12" i="28"/>
  <c r="K402" i="3"/>
  <c r="N15" i="27"/>
  <c r="J291" i="3" l="1"/>
  <c r="C21" i="26" s="1"/>
  <c r="L15" i="26"/>
  <c r="K295" i="3"/>
  <c r="K187" i="3"/>
  <c r="L21" i="26"/>
  <c r="M291" i="3"/>
  <c r="F21" i="26" s="1"/>
  <c r="P183" i="3"/>
  <c r="P291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7" i="3"/>
  <c r="G88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7" i="3"/>
  <c r="F22" i="26" s="1"/>
  <c r="U327" i="3"/>
  <c r="K236" i="3"/>
  <c r="P327" i="3"/>
  <c r="J327" i="3"/>
  <c r="C22" i="26" s="1"/>
  <c r="K404" i="3"/>
  <c r="J393" i="3"/>
  <c r="M393" i="3"/>
  <c r="F25" i="26" s="1"/>
  <c r="P393" i="3"/>
  <c r="K396" i="3"/>
  <c r="U103" i="3"/>
  <c r="U97" i="3"/>
  <c r="P103" i="3"/>
  <c r="K135" i="3"/>
  <c r="I417" i="3"/>
  <c r="K75" i="3"/>
  <c r="M9" i="3"/>
  <c r="F17" i="19" s="1"/>
  <c r="K214" i="3"/>
  <c r="K101" i="3"/>
  <c r="K387" i="3"/>
  <c r="J208" i="3"/>
  <c r="C16" i="26" s="1"/>
  <c r="J16" i="26"/>
  <c r="U208" i="3"/>
  <c r="P9" i="3"/>
  <c r="M208" i="3"/>
  <c r="F16" i="26" s="1"/>
  <c r="J9" i="3"/>
  <c r="C17" i="19" s="1"/>
  <c r="H417" i="3"/>
  <c r="J379" i="3"/>
  <c r="C24" i="26" s="1"/>
  <c r="K11" i="3"/>
  <c r="K9" i="3" s="1"/>
  <c r="D17" i="19" s="1"/>
  <c r="U379" i="3"/>
  <c r="J24" i="26"/>
  <c r="M379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3" i="3"/>
  <c r="J23" i="26"/>
  <c r="U224" i="3"/>
  <c r="J17" i="26"/>
  <c r="J25" i="26"/>
  <c r="U393" i="3"/>
  <c r="J12" i="26"/>
  <c r="K333" i="3"/>
  <c r="U65" i="3"/>
  <c r="U9" i="3"/>
  <c r="K287" i="3"/>
  <c r="J17" i="19"/>
  <c r="P353" i="3"/>
  <c r="K281" i="3"/>
  <c r="D20" i="26" s="1"/>
  <c r="M224" i="3"/>
  <c r="F17" i="26" s="1"/>
  <c r="L417" i="3"/>
  <c r="K31" i="3"/>
  <c r="K29" i="3" s="1"/>
  <c r="D16" i="19" s="1"/>
  <c r="K34" i="3"/>
  <c r="K185" i="3"/>
  <c r="K226" i="3"/>
  <c r="J353" i="3"/>
  <c r="C23" i="26" s="1"/>
  <c r="K155" i="3"/>
  <c r="K151" i="3"/>
  <c r="K149" i="3" s="1"/>
  <c r="D14" i="26" s="1"/>
  <c r="K264" i="3"/>
  <c r="K42" i="3"/>
  <c r="K39" i="3"/>
  <c r="K37" i="3" s="1"/>
  <c r="D11" i="26" s="1"/>
  <c r="M353" i="3"/>
  <c r="F23" i="26" s="1"/>
  <c r="K15" i="3"/>
  <c r="K382" i="3"/>
  <c r="K329" i="3"/>
  <c r="K327" i="3" s="1"/>
  <c r="D22" i="26" s="1"/>
  <c r="K85" i="3"/>
  <c r="K268" i="3"/>
  <c r="K210" i="3"/>
  <c r="K69" i="3"/>
  <c r="K141" i="3"/>
  <c r="K139" i="3" s="1"/>
  <c r="D13" i="26" s="1"/>
  <c r="K145" i="3"/>
  <c r="K293" i="3"/>
  <c r="K291" i="3" s="1"/>
  <c r="K355" i="3"/>
  <c r="K353" i="3" s="1"/>
  <c r="D23" i="26" s="1"/>
  <c r="J224" i="3"/>
  <c r="C17" i="26" s="1"/>
  <c r="K59" i="3"/>
  <c r="K57" i="3" s="1"/>
  <c r="D18" i="19" s="1"/>
  <c r="K62" i="3"/>
  <c r="K227" i="3"/>
  <c r="T17" i="28"/>
  <c r="U17" i="28" s="1"/>
  <c r="S417" i="3"/>
  <c r="I88" i="15" s="1"/>
  <c r="P17" i="28"/>
  <c r="Q17" i="28" s="1"/>
  <c r="O417" i="3"/>
  <c r="R17" i="28"/>
  <c r="V17" i="28"/>
  <c r="W17" i="28" s="1"/>
  <c r="T417" i="3"/>
  <c r="K88" i="15" s="1"/>
  <c r="N417" i="3"/>
  <c r="K397" i="3"/>
  <c r="K11" i="28"/>
  <c r="N11" i="28"/>
  <c r="K14" i="28"/>
  <c r="N24" i="28"/>
  <c r="K18" i="28"/>
  <c r="N18" i="28"/>
  <c r="R19" i="27"/>
  <c r="K19" i="28"/>
  <c r="M14" i="27"/>
  <c r="O14" i="27" s="1"/>
  <c r="U14" i="27" s="1"/>
  <c r="K401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7" i="3" l="1"/>
  <c r="N100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1" i="3"/>
  <c r="K97" i="3"/>
  <c r="D21" i="26"/>
  <c r="K183" i="3"/>
  <c r="D15" i="26" s="1"/>
  <c r="U417" i="3"/>
  <c r="K393" i="3"/>
  <c r="D25" i="26" s="1"/>
  <c r="K208" i="3"/>
  <c r="D16" i="26" s="1"/>
  <c r="K379" i="3"/>
  <c r="D24" i="26" s="1"/>
  <c r="K65" i="3"/>
  <c r="D12" i="26" s="1"/>
  <c r="K103" i="3"/>
  <c r="D11" i="19"/>
  <c r="J417" i="3"/>
  <c r="C25" i="26"/>
  <c r="C26" i="26" s="1"/>
  <c r="S17" i="28"/>
  <c r="K224" i="3"/>
  <c r="M417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7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<sst xmlns="http://schemas.openxmlformats.org/spreadsheetml/2006/main" count="1228" uniqueCount="361">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</sst>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79" fontId="29" fillId="4" borderId="54" xfId="0" applyNumberFormat="1" applyFont="1" applyFill="1" applyBorder="1" applyAlignment="1">
      <alignment horizontal="right" wrapText="1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79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0" fontId="37" fillId="6" borderId="53" xfId="0" applyFont="1" applyFill="1" applyBorder="1" applyAlignment="1">
      <alignment horizontal="left" vertical="top"/>
    </xf>
    <xf numFmtId="179" fontId="37" fillId="6" borderId="53" xfId="0" applyNumberFormat="1" applyFont="1" applyFill="1" applyBorder="1" applyAlignment="1">
      <alignment horizontal="right" vertical="top"/>
    </xf>
    <xf numFmtId="179" fontId="29" fillId="4" borderId="54" xfId="0" applyNumberFormat="1" applyFont="1" applyFill="1" applyBorder="1" applyAlignment="1">
      <alignment horizontal="right" vertical="center"/>
    </xf>
    <xf numFmtId="179" fontId="29" fillId="7" borderId="54" xfId="0" applyNumberFormat="1" applyFont="1" applyFill="1" applyBorder="1" applyAlignment="1">
      <alignment horizontal="right" vertical="center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6" t="s">
        <v>68</v>
      </c>
      <c r="C1" s="476"/>
      <c r="D1" s="476"/>
      <c r="E1" s="476"/>
      <c r="F1" s="476"/>
      <c r="G1" s="476"/>
      <c r="H1" s="476"/>
      <c r="I1" s="476"/>
      <c r="J1" s="476"/>
      <c r="K1" s="476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7" t="s">
        <v>0</v>
      </c>
      <c r="C8" s="477" t="s">
        <v>1</v>
      </c>
      <c r="D8" s="477"/>
      <c r="E8" s="54" t="s">
        <v>66</v>
      </c>
      <c r="F8" s="478" t="s">
        <v>71</v>
      </c>
      <c r="G8" s="478"/>
      <c r="H8" s="478"/>
      <c r="I8" s="478"/>
      <c r="J8" s="478"/>
      <c r="K8" s="55" t="s">
        <v>9</v>
      </c>
    </row>
    <row r="9" spans="1:15" x14ac:dyDescent="0.2">
      <c r="B9" s="477"/>
      <c r="C9" s="477"/>
      <c r="D9" s="477"/>
      <c r="E9" s="479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7"/>
      <c r="C10" s="477"/>
      <c r="D10" s="477"/>
      <c r="E10" s="479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7"/>
      <c r="C11" s="477"/>
      <c r="D11" s="477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5" t="s">
        <v>10</v>
      </c>
      <c r="D101" s="475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44773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3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6" t="s">
        <v>93</v>
      </c>
      <c r="L7" s="523" t="s">
        <v>125</v>
      </c>
      <c r="M7" s="538" t="s">
        <v>94</v>
      </c>
      <c r="N7" s="540" t="s">
        <v>186</v>
      </c>
      <c r="O7" s="538" t="s">
        <v>116</v>
      </c>
      <c r="P7" s="540" t="s">
        <v>105</v>
      </c>
      <c r="Q7" s="538" t="s">
        <v>95</v>
      </c>
      <c r="R7" s="540" t="s">
        <v>188</v>
      </c>
      <c r="S7" s="543" t="s">
        <v>187</v>
      </c>
      <c r="T7" s="540" t="s">
        <v>189</v>
      </c>
      <c r="U7" s="540" t="s">
        <v>190</v>
      </c>
      <c r="V7" s="540" t="s">
        <v>191</v>
      </c>
      <c r="W7" s="540" t="s">
        <v>192</v>
      </c>
      <c r="X7" s="545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4"/>
      <c r="C8" s="208"/>
      <c r="D8" s="209"/>
      <c r="E8" s="208"/>
      <c r="F8" s="210"/>
      <c r="G8" s="208"/>
      <c r="H8" s="211"/>
      <c r="I8" s="211"/>
      <c r="J8" s="212"/>
      <c r="K8" s="537"/>
      <c r="L8" s="524"/>
      <c r="M8" s="539"/>
      <c r="N8" s="541"/>
      <c r="O8" s="539"/>
      <c r="P8" s="541"/>
      <c r="Q8" s="539"/>
      <c r="R8" s="541"/>
      <c r="S8" s="544"/>
      <c r="T8" s="541"/>
      <c r="U8" s="541"/>
      <c r="V8" s="541"/>
      <c r="W8" s="541"/>
      <c r="X8" s="54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4"/>
      <c r="C9" s="208"/>
      <c r="D9" s="209"/>
      <c r="E9" s="208"/>
      <c r="F9" s="210"/>
      <c r="G9" s="208"/>
      <c r="H9" s="211"/>
      <c r="I9" s="211"/>
      <c r="J9" s="212"/>
      <c r="K9" s="537"/>
      <c r="L9" s="524"/>
      <c r="M9" s="539"/>
      <c r="N9" s="542"/>
      <c r="O9" s="539"/>
      <c r="P9" s="542"/>
      <c r="Q9" s="539"/>
      <c r="R9" s="542"/>
      <c r="S9" s="544"/>
      <c r="T9" s="542"/>
      <c r="U9" s="542"/>
      <c r="V9" s="542"/>
      <c r="W9" s="542"/>
      <c r="X9" s="54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5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0"/>
      <c r="D81" s="480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0"/>
  <sheetViews>
    <sheetView showGridLines="0" zoomScale="80" zoomScaleNormal="80" workbookViewId="0">
      <pane xSplit="5" ySplit="4" topLeftCell="F68" activePane="bottomRight" state="frozen"/>
      <selection activeCell="B3" sqref="B3:B4"/>
      <selection pane="topRight" activeCell="B3" sqref="B3:B4"/>
      <selection pane="bottomLeft" activeCell="B3" sqref="B3:B4"/>
      <selection pane="bottomRight" activeCell="U76" sqref="U76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4" t="s">
        <v>48</v>
      </c>
      <c r="B3" s="484" t="s">
        <v>62</v>
      </c>
      <c r="C3" s="484" t="s">
        <v>348</v>
      </c>
      <c r="D3" s="484"/>
      <c r="E3" s="484" t="s">
        <v>349</v>
      </c>
      <c r="F3" s="481" t="s">
        <v>86</v>
      </c>
      <c r="G3" s="481" t="s">
        <v>350</v>
      </c>
      <c r="H3" s="481" t="s">
        <v>87</v>
      </c>
      <c r="I3" s="481" t="s">
        <v>351</v>
      </c>
      <c r="J3" s="481" t="s">
        <v>2</v>
      </c>
      <c r="K3" s="481" t="s">
        <v>352</v>
      </c>
      <c r="L3" s="481" t="s">
        <v>88</v>
      </c>
      <c r="M3" s="481" t="s">
        <v>4</v>
      </c>
      <c r="N3" s="481" t="s">
        <v>5</v>
      </c>
      <c r="O3" s="481" t="s">
        <v>12</v>
      </c>
      <c r="P3" s="481" t="s">
        <v>3</v>
      </c>
    </row>
    <row r="4" spans="1:17" s="445" customFormat="1" ht="32.1" customHeight="1" x14ac:dyDescent="0.2">
      <c r="A4" s="485"/>
      <c r="B4" s="484"/>
      <c r="C4" s="484"/>
      <c r="D4" s="484"/>
      <c r="E4" s="484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2"/>
    </row>
    <row r="5" spans="1:17" ht="17.100000000000001" customHeight="1" x14ac:dyDescent="0.2">
      <c r="A5" s="446" t="str">
        <f t="shared" ref="A5:A41" si="0">CONCATENATE(B5,"-",C5,"-",E5)</f>
        <v>93045-1-100</v>
      </c>
      <c r="B5" s="547">
        <v>93045</v>
      </c>
      <c r="C5" s="548">
        <v>1</v>
      </c>
      <c r="D5" s="549" t="s">
        <v>11</v>
      </c>
      <c r="E5" s="548">
        <v>100</v>
      </c>
      <c r="F5" s="550">
        <v>500000</v>
      </c>
      <c r="G5" s="550">
        <v>0</v>
      </c>
      <c r="H5" s="550">
        <v>500000</v>
      </c>
      <c r="I5" s="550">
        <v>764597</v>
      </c>
      <c r="J5" s="550">
        <v>1264597</v>
      </c>
      <c r="K5" s="550">
        <v>0</v>
      </c>
      <c r="L5" s="550">
        <v>1264597</v>
      </c>
      <c r="M5" s="550">
        <v>0</v>
      </c>
      <c r="N5" s="550">
        <v>0</v>
      </c>
      <c r="O5" s="550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551">
        <v>93045</v>
      </c>
      <c r="C6" s="552">
        <v>3</v>
      </c>
      <c r="D6" s="553" t="s">
        <v>8</v>
      </c>
      <c r="E6" s="552">
        <v>100</v>
      </c>
      <c r="F6" s="554">
        <v>50000</v>
      </c>
      <c r="G6" s="554">
        <v>0</v>
      </c>
      <c r="H6" s="554">
        <v>50000</v>
      </c>
      <c r="I6" s="554">
        <v>240818</v>
      </c>
      <c r="J6" s="554">
        <v>290818</v>
      </c>
      <c r="K6" s="554">
        <v>0</v>
      </c>
      <c r="L6" s="554">
        <v>290818</v>
      </c>
      <c r="M6" s="554">
        <v>31834.12</v>
      </c>
      <c r="N6" s="554">
        <v>31834.12</v>
      </c>
      <c r="O6" s="554"/>
      <c r="P6" s="448">
        <f t="shared" ref="P6:P96" si="1">+L6-O6</f>
        <v>290818</v>
      </c>
    </row>
    <row r="7" spans="1:17" ht="17.100000000000001" customHeight="1" x14ac:dyDescent="0.2">
      <c r="A7" s="446" t="str">
        <f t="shared" si="0"/>
        <v>93048-1-100</v>
      </c>
      <c r="B7" s="547">
        <v>93048</v>
      </c>
      <c r="C7" s="548">
        <v>1</v>
      </c>
      <c r="D7" s="549" t="s">
        <v>11</v>
      </c>
      <c r="E7" s="548">
        <v>100</v>
      </c>
      <c r="F7" s="550">
        <v>300000</v>
      </c>
      <c r="G7" s="550">
        <v>0</v>
      </c>
      <c r="H7" s="550">
        <v>300000</v>
      </c>
      <c r="I7" s="550">
        <v>0</v>
      </c>
      <c r="J7" s="550">
        <v>300000</v>
      </c>
      <c r="K7" s="550">
        <v>0</v>
      </c>
      <c r="L7" s="550">
        <v>300000</v>
      </c>
      <c r="M7" s="550">
        <v>221349.45</v>
      </c>
      <c r="N7" s="550">
        <v>221349.45</v>
      </c>
      <c r="O7" s="550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551">
        <v>93048</v>
      </c>
      <c r="C8" s="552">
        <v>3</v>
      </c>
      <c r="D8" s="553" t="s">
        <v>8</v>
      </c>
      <c r="E8" s="552">
        <v>100</v>
      </c>
      <c r="F8" s="554">
        <v>10000</v>
      </c>
      <c r="G8" s="554">
        <v>0</v>
      </c>
      <c r="H8" s="554">
        <v>10000</v>
      </c>
      <c r="I8" s="554">
        <v>0</v>
      </c>
      <c r="J8" s="554">
        <v>10000</v>
      </c>
      <c r="K8" s="554">
        <v>0</v>
      </c>
      <c r="L8" s="554">
        <v>10000</v>
      </c>
      <c r="M8" s="554">
        <v>10000</v>
      </c>
      <c r="N8" s="554">
        <v>10000</v>
      </c>
      <c r="O8" s="554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547">
        <v>107292</v>
      </c>
      <c r="C9" s="548">
        <v>1</v>
      </c>
      <c r="D9" s="549" t="s">
        <v>11</v>
      </c>
      <c r="E9" s="548">
        <v>100</v>
      </c>
      <c r="F9" s="550">
        <v>1000000</v>
      </c>
      <c r="G9" s="550">
        <v>0</v>
      </c>
      <c r="H9" s="550">
        <v>1000000</v>
      </c>
      <c r="I9" s="550">
        <v>-764597</v>
      </c>
      <c r="J9" s="550">
        <v>235403</v>
      </c>
      <c r="K9" s="550">
        <v>0</v>
      </c>
      <c r="L9" s="550">
        <v>235403</v>
      </c>
      <c r="M9" s="550">
        <v>235403</v>
      </c>
      <c r="N9" s="550">
        <v>0</v>
      </c>
      <c r="O9" s="550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551">
        <v>107292</v>
      </c>
      <c r="C10" s="552">
        <v>3</v>
      </c>
      <c r="D10" s="553" t="s">
        <v>8</v>
      </c>
      <c r="E10" s="552">
        <v>100</v>
      </c>
      <c r="F10" s="554">
        <v>50000</v>
      </c>
      <c r="G10" s="554">
        <v>0</v>
      </c>
      <c r="H10" s="554">
        <v>50000</v>
      </c>
      <c r="I10" s="554">
        <v>0</v>
      </c>
      <c r="J10" s="554">
        <v>50000</v>
      </c>
      <c r="K10" s="554">
        <v>0</v>
      </c>
      <c r="L10" s="554">
        <v>50000</v>
      </c>
      <c r="M10" s="554">
        <v>50000</v>
      </c>
      <c r="N10" s="554">
        <v>0</v>
      </c>
      <c r="O10" s="554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547">
        <v>128803</v>
      </c>
      <c r="C11" s="548">
        <v>3</v>
      </c>
      <c r="D11" s="549" t="s">
        <v>8</v>
      </c>
      <c r="E11" s="548">
        <v>142</v>
      </c>
      <c r="F11" s="550">
        <v>60000</v>
      </c>
      <c r="G11" s="550">
        <v>0</v>
      </c>
      <c r="H11" s="550">
        <v>60000</v>
      </c>
      <c r="I11" s="550">
        <v>0</v>
      </c>
      <c r="J11" s="550">
        <v>60000</v>
      </c>
      <c r="K11" s="550">
        <v>0</v>
      </c>
      <c r="L11" s="550">
        <v>60000</v>
      </c>
      <c r="M11" s="550">
        <v>60000</v>
      </c>
      <c r="N11" s="550">
        <v>60000</v>
      </c>
      <c r="O11" s="550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551">
        <v>128805</v>
      </c>
      <c r="C12" s="552">
        <v>3</v>
      </c>
      <c r="D12" s="553" t="s">
        <v>8</v>
      </c>
      <c r="E12" s="552">
        <v>142</v>
      </c>
      <c r="F12" s="554">
        <v>30000</v>
      </c>
      <c r="G12" s="554">
        <v>0</v>
      </c>
      <c r="H12" s="554">
        <v>30000</v>
      </c>
      <c r="I12" s="554">
        <v>0</v>
      </c>
      <c r="J12" s="554">
        <v>30000</v>
      </c>
      <c r="K12" s="554">
        <v>0</v>
      </c>
      <c r="L12" s="554">
        <v>30000</v>
      </c>
      <c r="M12" s="554">
        <v>2873.19</v>
      </c>
      <c r="N12" s="554">
        <v>2873.19</v>
      </c>
      <c r="O12" s="554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547">
        <v>128807</v>
      </c>
      <c r="C13" s="548">
        <v>3</v>
      </c>
      <c r="D13" s="549" t="s">
        <v>8</v>
      </c>
      <c r="E13" s="548">
        <v>142</v>
      </c>
      <c r="F13" s="550">
        <v>25000</v>
      </c>
      <c r="G13" s="550">
        <v>0</v>
      </c>
      <c r="H13" s="550">
        <v>25000</v>
      </c>
      <c r="I13" s="550">
        <v>0</v>
      </c>
      <c r="J13" s="550">
        <v>25000</v>
      </c>
      <c r="K13" s="550">
        <v>0</v>
      </c>
      <c r="L13" s="550">
        <v>25000</v>
      </c>
      <c r="M13" s="550">
        <v>25000</v>
      </c>
      <c r="N13" s="550">
        <v>25000</v>
      </c>
      <c r="O13" s="550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551">
        <v>128809</v>
      </c>
      <c r="C14" s="552">
        <v>3</v>
      </c>
      <c r="D14" s="553" t="s">
        <v>8</v>
      </c>
      <c r="E14" s="552">
        <v>142</v>
      </c>
      <c r="F14" s="554">
        <v>50000</v>
      </c>
      <c r="G14" s="554">
        <v>0</v>
      </c>
      <c r="H14" s="554">
        <v>50000</v>
      </c>
      <c r="I14" s="554">
        <v>0</v>
      </c>
      <c r="J14" s="554">
        <v>50000</v>
      </c>
      <c r="K14" s="554">
        <v>0</v>
      </c>
      <c r="L14" s="554">
        <v>50000</v>
      </c>
      <c r="M14" s="554">
        <v>24442.13</v>
      </c>
      <c r="N14" s="554">
        <v>24442.13</v>
      </c>
      <c r="O14" s="554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547">
        <v>128811</v>
      </c>
      <c r="C15" s="548">
        <v>3</v>
      </c>
      <c r="D15" s="549" t="s">
        <v>8</v>
      </c>
      <c r="E15" s="548">
        <v>142</v>
      </c>
      <c r="F15" s="550">
        <v>70000</v>
      </c>
      <c r="G15" s="550">
        <v>0</v>
      </c>
      <c r="H15" s="550">
        <v>70000</v>
      </c>
      <c r="I15" s="550">
        <v>0</v>
      </c>
      <c r="J15" s="550">
        <v>70000</v>
      </c>
      <c r="K15" s="550">
        <v>0</v>
      </c>
      <c r="L15" s="550">
        <v>70000</v>
      </c>
      <c r="M15" s="550">
        <v>119.919999999998</v>
      </c>
      <c r="N15" s="550">
        <v>119.92</v>
      </c>
      <c r="O15" s="550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551">
        <v>139605</v>
      </c>
      <c r="C16" s="552">
        <v>3</v>
      </c>
      <c r="D16" s="553" t="s">
        <v>8</v>
      </c>
      <c r="E16" s="552">
        <v>151</v>
      </c>
      <c r="F16" s="554">
        <v>322868</v>
      </c>
      <c r="G16" s="554">
        <v>0</v>
      </c>
      <c r="H16" s="554">
        <v>322868</v>
      </c>
      <c r="I16" s="554">
        <v>30000</v>
      </c>
      <c r="J16" s="554">
        <v>352868</v>
      </c>
      <c r="K16" s="554">
        <v>0</v>
      </c>
      <c r="L16" s="554">
        <v>352868</v>
      </c>
      <c r="M16" s="554">
        <v>154981.35</v>
      </c>
      <c r="N16" s="554">
        <v>154981.35</v>
      </c>
      <c r="O16" s="554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547">
        <v>174222</v>
      </c>
      <c r="C17" s="548">
        <v>1</v>
      </c>
      <c r="D17" s="549" t="s">
        <v>11</v>
      </c>
      <c r="E17" s="548">
        <v>100</v>
      </c>
      <c r="F17" s="550">
        <v>343663503</v>
      </c>
      <c r="G17" s="550">
        <v>-3436635</v>
      </c>
      <c r="H17" s="550">
        <v>340226868</v>
      </c>
      <c r="I17" s="550">
        <v>3436635</v>
      </c>
      <c r="J17" s="550">
        <v>343663503</v>
      </c>
      <c r="K17" s="550">
        <v>0</v>
      </c>
      <c r="L17" s="550">
        <v>343663503</v>
      </c>
      <c r="M17" s="550">
        <v>129478863.70999999</v>
      </c>
      <c r="N17" s="550">
        <v>129478863.70999999</v>
      </c>
      <c r="O17" s="550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551">
        <v>174224</v>
      </c>
      <c r="C18" s="552">
        <v>3</v>
      </c>
      <c r="D18" s="553" t="s">
        <v>8</v>
      </c>
      <c r="E18" s="552">
        <v>151</v>
      </c>
      <c r="F18" s="554">
        <v>25591140</v>
      </c>
      <c r="G18" s="554">
        <v>0</v>
      </c>
      <c r="H18" s="554">
        <v>25591140</v>
      </c>
      <c r="I18" s="554">
        <v>-25591140</v>
      </c>
      <c r="J18" s="554">
        <v>0</v>
      </c>
      <c r="K18" s="554">
        <v>0</v>
      </c>
      <c r="L18" s="554">
        <v>0</v>
      </c>
      <c r="M18" s="554">
        <v>-3741491.13</v>
      </c>
      <c r="N18" s="554"/>
      <c r="O18" s="554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547">
        <v>174224</v>
      </c>
      <c r="C19" s="548">
        <v>3</v>
      </c>
      <c r="D19" s="549" t="s">
        <v>8</v>
      </c>
      <c r="E19" s="548">
        <v>188</v>
      </c>
      <c r="F19" s="550"/>
      <c r="G19" s="550">
        <v>0</v>
      </c>
      <c r="H19" s="550">
        <v>0</v>
      </c>
      <c r="I19" s="550">
        <v>25591140</v>
      </c>
      <c r="J19" s="550">
        <v>25591140</v>
      </c>
      <c r="K19" s="550">
        <v>0</v>
      </c>
      <c r="L19" s="550">
        <v>25591140</v>
      </c>
      <c r="M19" s="550">
        <v>4820926.49</v>
      </c>
      <c r="N19" s="550">
        <v>4820926.49</v>
      </c>
      <c r="O19" s="550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551">
        <v>174225</v>
      </c>
      <c r="C20" s="552">
        <v>3</v>
      </c>
      <c r="D20" s="553" t="s">
        <v>8</v>
      </c>
      <c r="E20" s="552">
        <v>151</v>
      </c>
      <c r="F20" s="554">
        <v>997967</v>
      </c>
      <c r="G20" s="554">
        <v>0</v>
      </c>
      <c r="H20" s="554">
        <v>997967</v>
      </c>
      <c r="I20" s="554">
        <v>-997967</v>
      </c>
      <c r="J20" s="554">
        <v>0</v>
      </c>
      <c r="K20" s="554">
        <v>0</v>
      </c>
      <c r="L20" s="554">
        <v>0</v>
      </c>
      <c r="M20" s="554">
        <v>-63076.45</v>
      </c>
      <c r="N20" s="554"/>
      <c r="O20" s="554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547">
        <v>174225</v>
      </c>
      <c r="C21" s="548">
        <v>3</v>
      </c>
      <c r="D21" s="549" t="s">
        <v>8</v>
      </c>
      <c r="E21" s="548">
        <v>188</v>
      </c>
      <c r="F21" s="550"/>
      <c r="G21" s="550">
        <v>0</v>
      </c>
      <c r="H21" s="550">
        <v>0</v>
      </c>
      <c r="I21" s="550">
        <v>997967</v>
      </c>
      <c r="J21" s="550">
        <v>997967</v>
      </c>
      <c r="K21" s="550">
        <v>0</v>
      </c>
      <c r="L21" s="550">
        <v>997967</v>
      </c>
      <c r="M21" s="550">
        <v>593371.35</v>
      </c>
      <c r="N21" s="550">
        <v>593371.35</v>
      </c>
      <c r="O21" s="550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551">
        <v>174228</v>
      </c>
      <c r="C22" s="552">
        <v>3</v>
      </c>
      <c r="D22" s="553" t="s">
        <v>8</v>
      </c>
      <c r="E22" s="552">
        <v>142</v>
      </c>
      <c r="F22" s="554">
        <v>400000</v>
      </c>
      <c r="G22" s="554">
        <v>0</v>
      </c>
      <c r="H22" s="554">
        <v>400000</v>
      </c>
      <c r="I22" s="554">
        <v>-400000</v>
      </c>
      <c r="J22" s="554">
        <v>0</v>
      </c>
      <c r="K22" s="554">
        <v>0</v>
      </c>
      <c r="L22" s="554">
        <v>0</v>
      </c>
      <c r="M22" s="554">
        <v>0</v>
      </c>
      <c r="N22" s="554">
        <v>0</v>
      </c>
      <c r="O22" s="554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547">
        <v>174229</v>
      </c>
      <c r="C23" s="548">
        <v>3</v>
      </c>
      <c r="D23" s="549" t="s">
        <v>8</v>
      </c>
      <c r="E23" s="548">
        <v>142</v>
      </c>
      <c r="F23" s="550">
        <v>400000</v>
      </c>
      <c r="G23" s="550">
        <v>0</v>
      </c>
      <c r="H23" s="550">
        <v>400000</v>
      </c>
      <c r="I23" s="550">
        <v>-400000</v>
      </c>
      <c r="J23" s="550">
        <v>0</v>
      </c>
      <c r="K23" s="550">
        <v>0</v>
      </c>
      <c r="L23" s="550">
        <v>0</v>
      </c>
      <c r="M23" s="550">
        <v>0</v>
      </c>
      <c r="N23" s="550">
        <v>0</v>
      </c>
      <c r="O23" s="550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551">
        <v>174230</v>
      </c>
      <c r="C24" s="552">
        <v>3</v>
      </c>
      <c r="D24" s="553" t="s">
        <v>8</v>
      </c>
      <c r="E24" s="552">
        <v>142</v>
      </c>
      <c r="F24" s="554">
        <v>300000</v>
      </c>
      <c r="G24" s="554">
        <v>0</v>
      </c>
      <c r="H24" s="554">
        <v>300000</v>
      </c>
      <c r="I24" s="554">
        <v>100000</v>
      </c>
      <c r="J24" s="554">
        <v>400000</v>
      </c>
      <c r="K24" s="554">
        <v>0</v>
      </c>
      <c r="L24" s="554">
        <v>400000</v>
      </c>
      <c r="M24" s="554">
        <v>134483.98000000001</v>
      </c>
      <c r="N24" s="554">
        <v>134483.98000000001</v>
      </c>
      <c r="O24" s="554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547">
        <v>174231</v>
      </c>
      <c r="C25" s="548">
        <v>3</v>
      </c>
      <c r="D25" s="549" t="s">
        <v>8</v>
      </c>
      <c r="E25" s="548">
        <v>142</v>
      </c>
      <c r="F25" s="550">
        <v>400000</v>
      </c>
      <c r="G25" s="550">
        <v>0</v>
      </c>
      <c r="H25" s="550">
        <v>400000</v>
      </c>
      <c r="I25" s="550">
        <v>100000</v>
      </c>
      <c r="J25" s="550">
        <v>500000</v>
      </c>
      <c r="K25" s="550">
        <v>0</v>
      </c>
      <c r="L25" s="550">
        <v>500000</v>
      </c>
      <c r="M25" s="550">
        <v>39616.21</v>
      </c>
      <c r="N25" s="550">
        <v>39616.21</v>
      </c>
      <c r="O25" s="550"/>
      <c r="P25" s="449">
        <f>+L25-O25</f>
        <v>500000</v>
      </c>
    </row>
    <row r="26" spans="1:16" ht="17.100000000000001" customHeight="1" x14ac:dyDescent="0.2">
      <c r="A26" s="446" t="str">
        <f t="shared" si="0"/>
        <v>174231-4-142</v>
      </c>
      <c r="B26" s="551">
        <v>174231</v>
      </c>
      <c r="C26" s="552">
        <v>4</v>
      </c>
      <c r="D26" s="553" t="s">
        <v>7</v>
      </c>
      <c r="E26" s="552">
        <v>142</v>
      </c>
      <c r="F26" s="554">
        <v>200000</v>
      </c>
      <c r="G26" s="554">
        <v>0</v>
      </c>
      <c r="H26" s="554">
        <v>200000</v>
      </c>
      <c r="I26" s="554">
        <v>81211</v>
      </c>
      <c r="J26" s="554">
        <v>281211</v>
      </c>
      <c r="K26" s="554">
        <v>0</v>
      </c>
      <c r="L26" s="554">
        <v>281211</v>
      </c>
      <c r="M26" s="554">
        <v>0.94000000000232797</v>
      </c>
      <c r="N26" s="554">
        <v>0.94</v>
      </c>
      <c r="O26" s="554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547">
        <v>174232</v>
      </c>
      <c r="C27" s="548">
        <v>3</v>
      </c>
      <c r="D27" s="549" t="s">
        <v>8</v>
      </c>
      <c r="E27" s="548">
        <v>100</v>
      </c>
      <c r="F27" s="550"/>
      <c r="G27" s="550">
        <v>4950000</v>
      </c>
      <c r="H27" s="550">
        <v>4950000</v>
      </c>
      <c r="I27" s="550">
        <v>0</v>
      </c>
      <c r="J27" s="550">
        <v>4950000</v>
      </c>
      <c r="K27" s="550">
        <v>0</v>
      </c>
      <c r="L27" s="550">
        <v>4950000</v>
      </c>
      <c r="M27" s="550">
        <v>0</v>
      </c>
      <c r="N27" s="550">
        <v>0</v>
      </c>
      <c r="O27" s="550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551">
        <v>174232</v>
      </c>
      <c r="C28" s="552">
        <v>3</v>
      </c>
      <c r="D28" s="553" t="s">
        <v>8</v>
      </c>
      <c r="E28" s="552">
        <v>142</v>
      </c>
      <c r="F28" s="554">
        <v>33000000</v>
      </c>
      <c r="G28" s="554">
        <v>-4950000</v>
      </c>
      <c r="H28" s="554">
        <v>28050000</v>
      </c>
      <c r="I28" s="554">
        <v>1200000</v>
      </c>
      <c r="J28" s="554">
        <v>29250000</v>
      </c>
      <c r="K28" s="554">
        <v>0</v>
      </c>
      <c r="L28" s="554">
        <v>29250000</v>
      </c>
      <c r="M28" s="554">
        <v>514618.14999999898</v>
      </c>
      <c r="N28" s="554">
        <v>181696.2</v>
      </c>
      <c r="O28" s="554">
        <v>0</v>
      </c>
      <c r="P28" s="448">
        <f t="shared" si="1"/>
        <v>29250000</v>
      </c>
    </row>
    <row r="29" spans="1:16" ht="17.100000000000001" customHeight="1" x14ac:dyDescent="0.2">
      <c r="A29" s="446" t="str">
        <f t="shared" si="0"/>
        <v>174232-4-142</v>
      </c>
      <c r="B29" s="547">
        <v>174232</v>
      </c>
      <c r="C29" s="548">
        <v>4</v>
      </c>
      <c r="D29" s="549" t="s">
        <v>7</v>
      </c>
      <c r="E29" s="548">
        <v>142</v>
      </c>
      <c r="F29" s="550">
        <v>2000000</v>
      </c>
      <c r="G29" s="550">
        <v>0</v>
      </c>
      <c r="H29" s="550">
        <v>2000000</v>
      </c>
      <c r="I29" s="550">
        <v>-1200000</v>
      </c>
      <c r="J29" s="550">
        <v>800000</v>
      </c>
      <c r="K29" s="550">
        <v>0</v>
      </c>
      <c r="L29" s="550">
        <v>800000</v>
      </c>
      <c r="M29" s="550">
        <v>5573.5899999999701</v>
      </c>
      <c r="N29" s="550">
        <v>5573.59</v>
      </c>
      <c r="O29" s="550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551">
        <v>174233</v>
      </c>
      <c r="C30" s="552">
        <v>3</v>
      </c>
      <c r="D30" s="553" t="s">
        <v>8</v>
      </c>
      <c r="E30" s="552">
        <v>142</v>
      </c>
      <c r="F30" s="554">
        <v>200000</v>
      </c>
      <c r="G30" s="554">
        <v>0</v>
      </c>
      <c r="H30" s="554">
        <v>200000</v>
      </c>
      <c r="I30" s="554">
        <v>0</v>
      </c>
      <c r="J30" s="554">
        <v>200000</v>
      </c>
      <c r="K30" s="554">
        <v>0</v>
      </c>
      <c r="L30" s="554">
        <v>200000</v>
      </c>
      <c r="M30" s="554">
        <v>0</v>
      </c>
      <c r="N30" s="554">
        <v>0</v>
      </c>
      <c r="O30" s="554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547">
        <v>174233</v>
      </c>
      <c r="C31" s="548">
        <v>4</v>
      </c>
      <c r="D31" s="549" t="s">
        <v>7</v>
      </c>
      <c r="E31" s="548">
        <v>142</v>
      </c>
      <c r="F31" s="550">
        <v>150000</v>
      </c>
      <c r="G31" s="550">
        <v>0</v>
      </c>
      <c r="H31" s="550">
        <v>150000</v>
      </c>
      <c r="I31" s="550">
        <v>0</v>
      </c>
      <c r="J31" s="550">
        <v>150000</v>
      </c>
      <c r="K31" s="550">
        <v>0</v>
      </c>
      <c r="L31" s="550">
        <v>150000</v>
      </c>
      <c r="M31" s="550">
        <v>1689.84</v>
      </c>
      <c r="N31" s="550">
        <v>1689.84</v>
      </c>
      <c r="O31" s="550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551">
        <v>174234</v>
      </c>
      <c r="C32" s="552">
        <v>3</v>
      </c>
      <c r="D32" s="553" t="s">
        <v>8</v>
      </c>
      <c r="E32" s="552">
        <v>142</v>
      </c>
      <c r="F32" s="554">
        <v>1000000</v>
      </c>
      <c r="G32" s="554">
        <v>0</v>
      </c>
      <c r="H32" s="554">
        <v>1000000</v>
      </c>
      <c r="I32" s="554">
        <v>0</v>
      </c>
      <c r="J32" s="554">
        <v>1000000</v>
      </c>
      <c r="K32" s="554">
        <v>0</v>
      </c>
      <c r="L32" s="554">
        <v>1000000</v>
      </c>
      <c r="M32" s="554">
        <v>0</v>
      </c>
      <c r="N32" s="554">
        <v>0</v>
      </c>
      <c r="O32" s="554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547">
        <v>174234</v>
      </c>
      <c r="C33" s="548">
        <v>4</v>
      </c>
      <c r="D33" s="549" t="s">
        <v>7</v>
      </c>
      <c r="E33" s="548">
        <v>142</v>
      </c>
      <c r="F33" s="550">
        <v>300000</v>
      </c>
      <c r="G33" s="550">
        <v>0</v>
      </c>
      <c r="H33" s="550">
        <v>300000</v>
      </c>
      <c r="I33" s="550">
        <v>700000</v>
      </c>
      <c r="J33" s="550">
        <v>1000000</v>
      </c>
      <c r="K33" s="550">
        <v>0</v>
      </c>
      <c r="L33" s="550">
        <v>1000000</v>
      </c>
      <c r="M33" s="550">
        <v>20031.38</v>
      </c>
      <c r="N33" s="550">
        <v>20031.38</v>
      </c>
      <c r="O33" s="550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551">
        <v>174235</v>
      </c>
      <c r="C34" s="552">
        <v>3</v>
      </c>
      <c r="D34" s="553" t="s">
        <v>8</v>
      </c>
      <c r="E34" s="552">
        <v>142</v>
      </c>
      <c r="F34" s="554">
        <v>200000</v>
      </c>
      <c r="G34" s="554">
        <v>0</v>
      </c>
      <c r="H34" s="554">
        <v>200000</v>
      </c>
      <c r="I34" s="554">
        <v>0</v>
      </c>
      <c r="J34" s="554">
        <v>200000</v>
      </c>
      <c r="K34" s="554">
        <v>0</v>
      </c>
      <c r="L34" s="554">
        <v>200000</v>
      </c>
      <c r="M34" s="554">
        <v>69036.87</v>
      </c>
      <c r="N34" s="554">
        <v>69036.87</v>
      </c>
      <c r="O34" s="554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547">
        <v>174236</v>
      </c>
      <c r="C35" s="548">
        <v>3</v>
      </c>
      <c r="D35" s="549" t="s">
        <v>8</v>
      </c>
      <c r="E35" s="548">
        <v>142</v>
      </c>
      <c r="F35" s="550">
        <v>200000</v>
      </c>
      <c r="G35" s="550">
        <v>0</v>
      </c>
      <c r="H35" s="550">
        <v>200000</v>
      </c>
      <c r="I35" s="550">
        <v>-50000</v>
      </c>
      <c r="J35" s="550">
        <v>150000</v>
      </c>
      <c r="K35" s="550">
        <v>0</v>
      </c>
      <c r="L35" s="550">
        <v>150000</v>
      </c>
      <c r="M35" s="550">
        <v>18380.48</v>
      </c>
      <c r="N35" s="550">
        <v>18380.48</v>
      </c>
      <c r="O35" s="550">
        <v>0</v>
      </c>
      <c r="P35" s="449">
        <f>+L35-O35</f>
        <v>150000</v>
      </c>
    </row>
    <row r="36" spans="1:16" ht="17.100000000000001" customHeight="1" x14ac:dyDescent="0.2">
      <c r="A36" s="446" t="str">
        <f t="shared" si="0"/>
        <v>174236-4-142</v>
      </c>
      <c r="B36" s="551">
        <v>174236</v>
      </c>
      <c r="C36" s="552">
        <v>4</v>
      </c>
      <c r="D36" s="553" t="s">
        <v>7</v>
      </c>
      <c r="E36" s="552">
        <v>142</v>
      </c>
      <c r="F36" s="554">
        <v>25000</v>
      </c>
      <c r="G36" s="554">
        <v>0</v>
      </c>
      <c r="H36" s="554">
        <v>25000</v>
      </c>
      <c r="I36" s="554">
        <v>-23614</v>
      </c>
      <c r="J36" s="554">
        <v>1386</v>
      </c>
      <c r="K36" s="554">
        <v>0</v>
      </c>
      <c r="L36" s="554">
        <v>1386</v>
      </c>
      <c r="M36" s="554">
        <v>0</v>
      </c>
      <c r="N36" s="554">
        <v>0</v>
      </c>
      <c r="O36" s="554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547">
        <v>174237</v>
      </c>
      <c r="C37" s="548">
        <v>3</v>
      </c>
      <c r="D37" s="549" t="s">
        <v>8</v>
      </c>
      <c r="E37" s="548">
        <v>142</v>
      </c>
      <c r="F37" s="550">
        <v>1305000</v>
      </c>
      <c r="G37" s="550">
        <v>0</v>
      </c>
      <c r="H37" s="550">
        <v>1305000</v>
      </c>
      <c r="I37" s="550">
        <v>-170832</v>
      </c>
      <c r="J37" s="550">
        <v>1134168</v>
      </c>
      <c r="K37" s="550">
        <v>0</v>
      </c>
      <c r="L37" s="550">
        <v>1134168</v>
      </c>
      <c r="M37" s="550">
        <v>350987.63</v>
      </c>
      <c r="N37" s="550">
        <v>77287.63</v>
      </c>
      <c r="O37" s="550">
        <v>0</v>
      </c>
      <c r="P37" s="449">
        <f>+L37-O37</f>
        <v>1134168</v>
      </c>
    </row>
    <row r="38" spans="1:16" ht="17.100000000000001" customHeight="1" x14ac:dyDescent="0.2">
      <c r="A38" s="446" t="str">
        <f t="shared" si="0"/>
        <v>174237-4-142</v>
      </c>
      <c r="B38" s="551">
        <v>174237</v>
      </c>
      <c r="C38" s="552">
        <v>4</v>
      </c>
      <c r="D38" s="553" t="s">
        <v>7</v>
      </c>
      <c r="E38" s="552">
        <v>142</v>
      </c>
      <c r="F38" s="554">
        <v>145000</v>
      </c>
      <c r="G38" s="554">
        <v>0</v>
      </c>
      <c r="H38" s="554">
        <v>145000</v>
      </c>
      <c r="I38" s="554">
        <v>0</v>
      </c>
      <c r="J38" s="554">
        <v>145000</v>
      </c>
      <c r="K38" s="554">
        <v>0</v>
      </c>
      <c r="L38" s="554">
        <v>145000</v>
      </c>
      <c r="M38" s="554">
        <v>0</v>
      </c>
      <c r="N38" s="554">
        <v>0</v>
      </c>
      <c r="O38" s="554"/>
      <c r="P38" s="448">
        <f t="shared" si="1"/>
        <v>145000</v>
      </c>
    </row>
    <row r="39" spans="1:16" ht="17.100000000000001" customHeight="1" x14ac:dyDescent="0.2">
      <c r="A39" s="446" t="str">
        <f t="shared" si="0"/>
        <v>174238-3-142</v>
      </c>
      <c r="B39" s="547">
        <v>174238</v>
      </c>
      <c r="C39" s="548">
        <v>3</v>
      </c>
      <c r="D39" s="549" t="s">
        <v>8</v>
      </c>
      <c r="E39" s="548">
        <v>142</v>
      </c>
      <c r="F39" s="550">
        <v>200000</v>
      </c>
      <c r="G39" s="550">
        <v>0</v>
      </c>
      <c r="H39" s="550">
        <v>200000</v>
      </c>
      <c r="I39" s="550">
        <v>0</v>
      </c>
      <c r="J39" s="550">
        <v>200000</v>
      </c>
      <c r="K39" s="550">
        <v>0</v>
      </c>
      <c r="L39" s="550">
        <v>200000</v>
      </c>
      <c r="M39" s="550">
        <v>33720.269999999997</v>
      </c>
      <c r="N39" s="550">
        <v>33720.269999999997</v>
      </c>
      <c r="O39" s="550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551">
        <v>174239</v>
      </c>
      <c r="C40" s="552">
        <v>3</v>
      </c>
      <c r="D40" s="553" t="s">
        <v>8</v>
      </c>
      <c r="E40" s="552">
        <v>142</v>
      </c>
      <c r="F40" s="554">
        <v>5692518</v>
      </c>
      <c r="G40" s="554">
        <v>0</v>
      </c>
      <c r="H40" s="554">
        <v>5692518</v>
      </c>
      <c r="I40" s="554">
        <v>0</v>
      </c>
      <c r="J40" s="554">
        <v>5692518</v>
      </c>
      <c r="K40" s="554">
        <v>0</v>
      </c>
      <c r="L40" s="554">
        <v>5692518</v>
      </c>
      <c r="M40" s="554">
        <v>323186.76</v>
      </c>
      <c r="N40" s="554">
        <v>323186.76</v>
      </c>
      <c r="O40" s="554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547">
        <v>174239</v>
      </c>
      <c r="C41" s="548">
        <v>4</v>
      </c>
      <c r="D41" s="549" t="s">
        <v>7</v>
      </c>
      <c r="E41" s="548">
        <v>142</v>
      </c>
      <c r="F41" s="550">
        <v>1000000</v>
      </c>
      <c r="G41" s="550">
        <v>0</v>
      </c>
      <c r="H41" s="550">
        <v>1000000</v>
      </c>
      <c r="I41" s="550">
        <v>0</v>
      </c>
      <c r="J41" s="550">
        <v>1000000</v>
      </c>
      <c r="K41" s="550">
        <v>0</v>
      </c>
      <c r="L41" s="550">
        <v>1000000</v>
      </c>
      <c r="M41" s="550">
        <v>78853.45</v>
      </c>
      <c r="N41" s="550">
        <v>78853.45</v>
      </c>
      <c r="O41" s="550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551">
        <v>174239</v>
      </c>
      <c r="C42" s="552">
        <v>3</v>
      </c>
      <c r="D42" s="553" t="s">
        <v>8</v>
      </c>
      <c r="E42" s="552">
        <v>150</v>
      </c>
      <c r="F42" s="554">
        <v>1807482</v>
      </c>
      <c r="G42" s="554">
        <v>0</v>
      </c>
      <c r="H42" s="554">
        <v>1807482</v>
      </c>
      <c r="I42" s="554">
        <v>0</v>
      </c>
      <c r="J42" s="554">
        <v>1807482</v>
      </c>
      <c r="K42" s="554">
        <v>0</v>
      </c>
      <c r="L42" s="554">
        <v>1807482</v>
      </c>
      <c r="M42" s="554">
        <v>76670.009999999995</v>
      </c>
      <c r="N42" s="554">
        <v>76670.009999999995</v>
      </c>
      <c r="O42" s="554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547">
        <v>174240</v>
      </c>
      <c r="C43" s="548">
        <v>3</v>
      </c>
      <c r="D43" s="549" t="s">
        <v>8</v>
      </c>
      <c r="E43" s="548">
        <v>142</v>
      </c>
      <c r="F43" s="550">
        <v>1408632</v>
      </c>
      <c r="G43" s="550">
        <v>0</v>
      </c>
      <c r="H43" s="550">
        <v>1408632</v>
      </c>
      <c r="I43" s="550">
        <v>-976723</v>
      </c>
      <c r="J43" s="550">
        <v>431909</v>
      </c>
      <c r="K43" s="550">
        <v>0</v>
      </c>
      <c r="L43" s="550">
        <v>431909</v>
      </c>
      <c r="M43" s="550">
        <v>129636.3</v>
      </c>
      <c r="N43" s="550">
        <v>129636.3</v>
      </c>
      <c r="O43" s="550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551">
        <v>174240</v>
      </c>
      <c r="C44" s="552">
        <v>4</v>
      </c>
      <c r="D44" s="553" t="s">
        <v>7</v>
      </c>
      <c r="E44" s="552">
        <v>142</v>
      </c>
      <c r="F44" s="554">
        <v>91368</v>
      </c>
      <c r="G44" s="554">
        <v>0</v>
      </c>
      <c r="H44" s="554">
        <v>91368</v>
      </c>
      <c r="I44" s="554">
        <v>800000</v>
      </c>
      <c r="J44" s="554">
        <v>891368</v>
      </c>
      <c r="K44" s="554">
        <v>0</v>
      </c>
      <c r="L44" s="554">
        <v>891368</v>
      </c>
      <c r="M44" s="554">
        <v>497</v>
      </c>
      <c r="N44" s="554">
        <v>497</v>
      </c>
      <c r="O44" s="554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547">
        <v>174241</v>
      </c>
      <c r="C45" s="548">
        <v>3</v>
      </c>
      <c r="D45" s="549" t="s">
        <v>8</v>
      </c>
      <c r="E45" s="548">
        <v>142</v>
      </c>
      <c r="F45" s="550">
        <v>1999999</v>
      </c>
      <c r="G45" s="550">
        <v>0</v>
      </c>
      <c r="H45" s="550">
        <v>1999999</v>
      </c>
      <c r="I45" s="550">
        <v>239000</v>
      </c>
      <c r="J45" s="550">
        <v>2238999</v>
      </c>
      <c r="K45" s="550">
        <v>0</v>
      </c>
      <c r="L45" s="550">
        <v>2238999</v>
      </c>
      <c r="M45" s="550">
        <v>11627.6499999999</v>
      </c>
      <c r="N45" s="550">
        <v>11627.65</v>
      </c>
      <c r="O45" s="550"/>
      <c r="P45" s="449">
        <f>+L45-O45</f>
        <v>2238999</v>
      </c>
    </row>
    <row r="46" spans="1:16" ht="17.100000000000001" customHeight="1" x14ac:dyDescent="0.2">
      <c r="A46" s="446" t="str">
        <f t="shared" si="2"/>
        <v>174241-4-142</v>
      </c>
      <c r="B46" s="551">
        <v>174241</v>
      </c>
      <c r="C46" s="552">
        <v>4</v>
      </c>
      <c r="D46" s="553" t="s">
        <v>7</v>
      </c>
      <c r="E46" s="552">
        <v>142</v>
      </c>
      <c r="F46" s="554">
        <v>1000000</v>
      </c>
      <c r="G46" s="554">
        <v>0</v>
      </c>
      <c r="H46" s="554">
        <v>1000000</v>
      </c>
      <c r="I46" s="554">
        <v>0</v>
      </c>
      <c r="J46" s="554">
        <v>1000000</v>
      </c>
      <c r="K46" s="554">
        <v>0</v>
      </c>
      <c r="L46" s="554">
        <v>1000000</v>
      </c>
      <c r="M46" s="554">
        <v>44656.5600000001</v>
      </c>
      <c r="N46" s="554">
        <v>44656.56</v>
      </c>
      <c r="O46" s="554"/>
      <c r="P46" s="448">
        <f t="shared" si="1"/>
        <v>1000000</v>
      </c>
    </row>
    <row r="47" spans="1:16" ht="17.100000000000001" customHeight="1" x14ac:dyDescent="0.2">
      <c r="A47" s="446" t="str">
        <f t="shared" si="2"/>
        <v>174242-3-142</v>
      </c>
      <c r="B47" s="547">
        <v>174242</v>
      </c>
      <c r="C47" s="548">
        <v>3</v>
      </c>
      <c r="D47" s="549" t="s">
        <v>8</v>
      </c>
      <c r="E47" s="548">
        <v>142</v>
      </c>
      <c r="F47" s="550">
        <v>1490000</v>
      </c>
      <c r="G47" s="550">
        <v>0</v>
      </c>
      <c r="H47" s="550">
        <v>1490000</v>
      </c>
      <c r="I47" s="550">
        <v>2050000</v>
      </c>
      <c r="J47" s="550">
        <v>3540000</v>
      </c>
      <c r="K47" s="550">
        <v>0</v>
      </c>
      <c r="L47" s="550">
        <v>3540000</v>
      </c>
      <c r="M47" s="550">
        <v>203258.13</v>
      </c>
      <c r="N47" s="550">
        <v>203258.13</v>
      </c>
      <c r="O47" s="550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551">
        <v>174242</v>
      </c>
      <c r="C48" s="552">
        <v>4</v>
      </c>
      <c r="D48" s="553" t="s">
        <v>7</v>
      </c>
      <c r="E48" s="552">
        <v>142</v>
      </c>
      <c r="F48" s="554">
        <v>1700000</v>
      </c>
      <c r="G48" s="554">
        <v>0</v>
      </c>
      <c r="H48" s="554">
        <v>1700000</v>
      </c>
      <c r="I48" s="554">
        <v>0</v>
      </c>
      <c r="J48" s="554">
        <v>1700000</v>
      </c>
      <c r="K48" s="554">
        <v>0</v>
      </c>
      <c r="L48" s="554">
        <v>1700000</v>
      </c>
      <c r="M48" s="554">
        <v>22311.75</v>
      </c>
      <c r="N48" s="554">
        <v>22311.75</v>
      </c>
      <c r="O48" s="554"/>
      <c r="P48" s="448">
        <f t="shared" si="1"/>
        <v>1700000</v>
      </c>
    </row>
    <row r="49" spans="1:17" ht="17.100000000000001" customHeight="1" x14ac:dyDescent="0.2">
      <c r="A49" s="446" t="str">
        <f t="shared" si="2"/>
        <v>174243-3-142</v>
      </c>
      <c r="B49" s="547">
        <v>174243</v>
      </c>
      <c r="C49" s="548">
        <v>3</v>
      </c>
      <c r="D49" s="549" t="s">
        <v>8</v>
      </c>
      <c r="E49" s="548">
        <v>142</v>
      </c>
      <c r="F49" s="550">
        <v>200000</v>
      </c>
      <c r="G49" s="550">
        <v>0</v>
      </c>
      <c r="H49" s="550">
        <v>200000</v>
      </c>
      <c r="I49" s="550">
        <v>0</v>
      </c>
      <c r="J49" s="550">
        <v>200000</v>
      </c>
      <c r="K49" s="550">
        <v>0</v>
      </c>
      <c r="L49" s="550">
        <v>200000</v>
      </c>
      <c r="M49" s="550">
        <v>62151.62</v>
      </c>
      <c r="N49" s="550">
        <v>62151.62</v>
      </c>
      <c r="O49" s="550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551">
        <v>174244</v>
      </c>
      <c r="C50" s="552">
        <v>3</v>
      </c>
      <c r="D50" s="553" t="s">
        <v>8</v>
      </c>
      <c r="E50" s="552">
        <v>142</v>
      </c>
      <c r="F50" s="554">
        <v>200000</v>
      </c>
      <c r="G50" s="554">
        <v>0</v>
      </c>
      <c r="H50" s="554">
        <v>200000</v>
      </c>
      <c r="I50" s="554">
        <v>0</v>
      </c>
      <c r="J50" s="554">
        <v>200000</v>
      </c>
      <c r="K50" s="554">
        <v>0</v>
      </c>
      <c r="L50" s="554">
        <v>200000</v>
      </c>
      <c r="M50" s="554">
        <v>4988.5199999999904</v>
      </c>
      <c r="N50" s="554">
        <v>4988.5200000000004</v>
      </c>
      <c r="O50" s="554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547">
        <v>174245</v>
      </c>
      <c r="C51" s="548">
        <v>3</v>
      </c>
      <c r="D51" s="549" t="s">
        <v>8</v>
      </c>
      <c r="E51" s="548">
        <v>142</v>
      </c>
      <c r="F51" s="550">
        <v>3539578</v>
      </c>
      <c r="G51" s="550">
        <v>0</v>
      </c>
      <c r="H51" s="550">
        <v>3539578</v>
      </c>
      <c r="I51" s="550">
        <v>0</v>
      </c>
      <c r="J51" s="550">
        <v>3539578</v>
      </c>
      <c r="K51" s="550">
        <v>0</v>
      </c>
      <c r="L51" s="550">
        <v>3539578</v>
      </c>
      <c r="M51" s="550">
        <v>250001.1</v>
      </c>
      <c r="N51" s="550">
        <v>250001.1</v>
      </c>
      <c r="O51" s="550"/>
      <c r="P51" s="449">
        <f>+L51-O51</f>
        <v>3539578</v>
      </c>
      <c r="Q51" s="450"/>
    </row>
    <row r="52" spans="1:17" ht="17.100000000000001" customHeight="1" x14ac:dyDescent="0.2">
      <c r="A52" s="446" t="str">
        <f t="shared" si="2"/>
        <v>174245-4-142</v>
      </c>
      <c r="B52" s="551">
        <v>174245</v>
      </c>
      <c r="C52" s="552">
        <v>4</v>
      </c>
      <c r="D52" s="553" t="s">
        <v>7</v>
      </c>
      <c r="E52" s="552">
        <v>142</v>
      </c>
      <c r="F52" s="554">
        <v>2460422</v>
      </c>
      <c r="G52" s="554">
        <v>0</v>
      </c>
      <c r="H52" s="554">
        <v>2460422</v>
      </c>
      <c r="I52" s="554">
        <v>0</v>
      </c>
      <c r="J52" s="554">
        <v>2460422</v>
      </c>
      <c r="K52" s="554">
        <v>0</v>
      </c>
      <c r="L52" s="554">
        <v>2460422</v>
      </c>
      <c r="M52" s="554">
        <v>47930.339999999902</v>
      </c>
      <c r="N52" s="554">
        <v>47930.34</v>
      </c>
      <c r="O52" s="554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547">
        <v>174246</v>
      </c>
      <c r="C53" s="548">
        <v>3</v>
      </c>
      <c r="D53" s="549" t="s">
        <v>8</v>
      </c>
      <c r="E53" s="548">
        <v>142</v>
      </c>
      <c r="F53" s="550">
        <v>300000</v>
      </c>
      <c r="G53" s="550">
        <v>0</v>
      </c>
      <c r="H53" s="550">
        <v>300000</v>
      </c>
      <c r="I53" s="550">
        <v>-50000</v>
      </c>
      <c r="J53" s="550">
        <v>250000</v>
      </c>
      <c r="K53" s="550">
        <v>0</v>
      </c>
      <c r="L53" s="550">
        <v>250000</v>
      </c>
      <c r="M53" s="550">
        <v>6338.9299999999903</v>
      </c>
      <c r="N53" s="550">
        <v>6338.93</v>
      </c>
      <c r="O53" s="550">
        <v>0</v>
      </c>
      <c r="P53" s="449">
        <f>+L53-O53</f>
        <v>250000</v>
      </c>
    </row>
    <row r="54" spans="1:17" ht="17.100000000000001" customHeight="1" x14ac:dyDescent="0.2">
      <c r="A54" s="446" t="str">
        <f t="shared" si="2"/>
        <v>174247-3-142</v>
      </c>
      <c r="B54" s="551">
        <v>174247</v>
      </c>
      <c r="C54" s="552">
        <v>3</v>
      </c>
      <c r="D54" s="553" t="s">
        <v>8</v>
      </c>
      <c r="E54" s="552">
        <v>142</v>
      </c>
      <c r="F54" s="554">
        <v>275000</v>
      </c>
      <c r="G54" s="554">
        <v>0</v>
      </c>
      <c r="H54" s="554">
        <v>275000</v>
      </c>
      <c r="I54" s="554">
        <v>0</v>
      </c>
      <c r="J54" s="554">
        <v>275000</v>
      </c>
      <c r="K54" s="554">
        <v>0</v>
      </c>
      <c r="L54" s="554">
        <v>275000</v>
      </c>
      <c r="M54" s="554">
        <v>107751.27</v>
      </c>
      <c r="N54" s="554">
        <v>107751.27</v>
      </c>
      <c r="O54" s="554"/>
      <c r="P54" s="448">
        <f t="shared" si="1"/>
        <v>275000</v>
      </c>
    </row>
    <row r="55" spans="1:17" ht="17.100000000000001" customHeight="1" x14ac:dyDescent="0.2">
      <c r="A55" s="446" t="str">
        <f t="shared" si="2"/>
        <v>174248-3-142</v>
      </c>
      <c r="B55" s="547">
        <v>174248</v>
      </c>
      <c r="C55" s="548">
        <v>3</v>
      </c>
      <c r="D55" s="549" t="s">
        <v>8</v>
      </c>
      <c r="E55" s="548">
        <v>142</v>
      </c>
      <c r="F55" s="550">
        <v>2365000</v>
      </c>
      <c r="G55" s="550">
        <v>0</v>
      </c>
      <c r="H55" s="550">
        <v>2365000</v>
      </c>
      <c r="I55" s="550">
        <v>0</v>
      </c>
      <c r="J55" s="550">
        <v>2365000</v>
      </c>
      <c r="K55" s="550">
        <v>0</v>
      </c>
      <c r="L55" s="550">
        <v>2365000</v>
      </c>
      <c r="M55" s="550">
        <v>2365000</v>
      </c>
      <c r="N55" s="550">
        <v>2365000</v>
      </c>
      <c r="O55" s="550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551">
        <v>174249</v>
      </c>
      <c r="C56" s="552">
        <v>3</v>
      </c>
      <c r="D56" s="553" t="s">
        <v>8</v>
      </c>
      <c r="E56" s="552">
        <v>142</v>
      </c>
      <c r="F56" s="554">
        <v>900000</v>
      </c>
      <c r="G56" s="554">
        <v>0</v>
      </c>
      <c r="H56" s="554">
        <v>900000</v>
      </c>
      <c r="I56" s="554">
        <v>-400000</v>
      </c>
      <c r="J56" s="554">
        <v>500000</v>
      </c>
      <c r="K56" s="554">
        <v>0</v>
      </c>
      <c r="L56" s="554">
        <v>500000</v>
      </c>
      <c r="M56" s="554">
        <v>183165.44</v>
      </c>
      <c r="N56" s="554">
        <v>183165.44</v>
      </c>
      <c r="O56" s="554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547">
        <v>174249</v>
      </c>
      <c r="C57" s="548">
        <v>4</v>
      </c>
      <c r="D57" s="549" t="s">
        <v>7</v>
      </c>
      <c r="E57" s="548">
        <v>142</v>
      </c>
      <c r="F57" s="550">
        <v>300000</v>
      </c>
      <c r="G57" s="550">
        <v>0</v>
      </c>
      <c r="H57" s="550">
        <v>300000</v>
      </c>
      <c r="I57" s="550">
        <v>0</v>
      </c>
      <c r="J57" s="550">
        <v>300000</v>
      </c>
      <c r="K57" s="550">
        <v>0</v>
      </c>
      <c r="L57" s="550">
        <v>300000</v>
      </c>
      <c r="M57" s="550">
        <v>280</v>
      </c>
      <c r="N57" s="550">
        <v>280</v>
      </c>
      <c r="O57" s="550"/>
      <c r="P57" s="449">
        <f>+L57-O57</f>
        <v>300000</v>
      </c>
    </row>
    <row r="58" spans="1:17" ht="17.100000000000001" customHeight="1" x14ac:dyDescent="0.2">
      <c r="A58" s="446" t="str">
        <f t="shared" si="2"/>
        <v>174250-3-142</v>
      </c>
      <c r="B58" s="551">
        <v>174250</v>
      </c>
      <c r="C58" s="552">
        <v>3</v>
      </c>
      <c r="D58" s="553" t="s">
        <v>8</v>
      </c>
      <c r="E58" s="552">
        <v>142</v>
      </c>
      <c r="F58" s="554">
        <v>1579000</v>
      </c>
      <c r="G58" s="554">
        <v>0</v>
      </c>
      <c r="H58" s="554">
        <v>1579000</v>
      </c>
      <c r="I58" s="554">
        <v>0</v>
      </c>
      <c r="J58" s="554">
        <v>1579000</v>
      </c>
      <c r="K58" s="554">
        <v>0</v>
      </c>
      <c r="L58" s="554">
        <v>1579000</v>
      </c>
      <c r="M58" s="554">
        <v>0</v>
      </c>
      <c r="N58" s="554">
        <v>0</v>
      </c>
      <c r="O58" s="554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547">
        <v>174250</v>
      </c>
      <c r="C59" s="548">
        <v>4</v>
      </c>
      <c r="D59" s="549" t="s">
        <v>7</v>
      </c>
      <c r="E59" s="548">
        <v>142</v>
      </c>
      <c r="F59" s="550">
        <v>800000</v>
      </c>
      <c r="G59" s="550">
        <v>0</v>
      </c>
      <c r="H59" s="550">
        <v>800000</v>
      </c>
      <c r="I59" s="550">
        <v>-353445</v>
      </c>
      <c r="J59" s="550">
        <v>446555</v>
      </c>
      <c r="K59" s="550">
        <v>0</v>
      </c>
      <c r="L59" s="550">
        <v>446555</v>
      </c>
      <c r="M59" s="550">
        <v>233839</v>
      </c>
      <c r="N59" s="550">
        <v>233839</v>
      </c>
      <c r="O59" s="550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551">
        <v>174251</v>
      </c>
      <c r="C60" s="552">
        <v>3</v>
      </c>
      <c r="D60" s="553" t="s">
        <v>8</v>
      </c>
      <c r="E60" s="552">
        <v>142</v>
      </c>
      <c r="F60" s="554">
        <v>200000</v>
      </c>
      <c r="G60" s="554">
        <v>0</v>
      </c>
      <c r="H60" s="554">
        <v>200000</v>
      </c>
      <c r="I60" s="554">
        <v>-200000</v>
      </c>
      <c r="J60" s="554">
        <v>0</v>
      </c>
      <c r="K60" s="554">
        <v>0</v>
      </c>
      <c r="L60" s="554">
        <v>0</v>
      </c>
      <c r="M60" s="554">
        <v>0</v>
      </c>
      <c r="N60" s="554">
        <v>0</v>
      </c>
      <c r="O60" s="554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547">
        <v>174252</v>
      </c>
      <c r="C61" s="548">
        <v>3</v>
      </c>
      <c r="D61" s="549" t="s">
        <v>8</v>
      </c>
      <c r="E61" s="548">
        <v>142</v>
      </c>
      <c r="F61" s="550">
        <v>3400000</v>
      </c>
      <c r="G61" s="550">
        <v>0</v>
      </c>
      <c r="H61" s="550">
        <v>3400000</v>
      </c>
      <c r="I61" s="550">
        <v>-1250000</v>
      </c>
      <c r="J61" s="550">
        <v>2150000</v>
      </c>
      <c r="K61" s="550">
        <v>0</v>
      </c>
      <c r="L61" s="550">
        <v>2150000</v>
      </c>
      <c r="M61" s="550">
        <v>5100.4100000001499</v>
      </c>
      <c r="N61" s="550">
        <v>5100.41</v>
      </c>
      <c r="O61" s="550">
        <v>0</v>
      </c>
      <c r="P61" s="449">
        <f>+L61-O61</f>
        <v>2150000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551">
        <v>174253</v>
      </c>
      <c r="C62" s="552">
        <v>3</v>
      </c>
      <c r="D62" s="553" t="s">
        <v>8</v>
      </c>
      <c r="E62" s="552">
        <v>142</v>
      </c>
      <c r="F62" s="554">
        <v>350000</v>
      </c>
      <c r="G62" s="554">
        <v>0</v>
      </c>
      <c r="H62" s="554">
        <v>350000</v>
      </c>
      <c r="I62" s="554">
        <v>-29037</v>
      </c>
      <c r="J62" s="554">
        <v>320963</v>
      </c>
      <c r="K62" s="554">
        <v>0</v>
      </c>
      <c r="L62" s="554">
        <v>320963</v>
      </c>
      <c r="M62" s="554">
        <v>85146.85</v>
      </c>
      <c r="N62" s="554">
        <v>85146.85</v>
      </c>
      <c r="O62" s="554">
        <v>0</v>
      </c>
      <c r="P62" s="448">
        <f t="shared" si="1"/>
        <v>320963</v>
      </c>
    </row>
    <row r="63" spans="1:17" ht="17.100000000000001" customHeight="1" x14ac:dyDescent="0.2">
      <c r="A63" s="446" t="str">
        <f t="shared" si="3"/>
        <v>174254-3-142</v>
      </c>
      <c r="B63" s="547">
        <v>174254</v>
      </c>
      <c r="C63" s="548">
        <v>3</v>
      </c>
      <c r="D63" s="549" t="s">
        <v>8</v>
      </c>
      <c r="E63" s="548">
        <v>142</v>
      </c>
      <c r="F63" s="550">
        <v>980000</v>
      </c>
      <c r="G63" s="550">
        <v>0</v>
      </c>
      <c r="H63" s="550">
        <v>980000</v>
      </c>
      <c r="I63" s="550">
        <v>-153000</v>
      </c>
      <c r="J63" s="550">
        <v>827000</v>
      </c>
      <c r="K63" s="550">
        <v>0</v>
      </c>
      <c r="L63" s="550">
        <v>827000</v>
      </c>
      <c r="M63" s="550">
        <v>134932.99</v>
      </c>
      <c r="N63" s="550">
        <v>134932.99</v>
      </c>
      <c r="O63" s="550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551">
        <v>174255</v>
      </c>
      <c r="C64" s="552">
        <v>3</v>
      </c>
      <c r="D64" s="553" t="s">
        <v>8</v>
      </c>
      <c r="E64" s="552">
        <v>142</v>
      </c>
      <c r="F64" s="554">
        <v>421000</v>
      </c>
      <c r="G64" s="554">
        <v>0</v>
      </c>
      <c r="H64" s="554">
        <v>421000</v>
      </c>
      <c r="I64" s="554">
        <v>0</v>
      </c>
      <c r="J64" s="554">
        <v>421000</v>
      </c>
      <c r="K64" s="554">
        <v>0</v>
      </c>
      <c r="L64" s="554">
        <v>421000</v>
      </c>
      <c r="M64" s="554">
        <v>0</v>
      </c>
      <c r="N64" s="554">
        <v>0</v>
      </c>
      <c r="O64" s="554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547">
        <v>174256</v>
      </c>
      <c r="C65" s="548">
        <v>3</v>
      </c>
      <c r="D65" s="549" t="s">
        <v>8</v>
      </c>
      <c r="E65" s="548">
        <v>142</v>
      </c>
      <c r="F65" s="550">
        <v>300000</v>
      </c>
      <c r="G65" s="550">
        <v>0</v>
      </c>
      <c r="H65" s="550">
        <v>300000</v>
      </c>
      <c r="I65" s="550">
        <v>0</v>
      </c>
      <c r="J65" s="550">
        <v>300000</v>
      </c>
      <c r="K65" s="550">
        <v>0</v>
      </c>
      <c r="L65" s="550">
        <v>300000</v>
      </c>
      <c r="M65" s="550">
        <v>1953.01000000001</v>
      </c>
      <c r="N65" s="550">
        <v>1953.01</v>
      </c>
      <c r="O65" s="550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551">
        <v>174257</v>
      </c>
      <c r="C66" s="552">
        <v>3</v>
      </c>
      <c r="D66" s="553" t="s">
        <v>8</v>
      </c>
      <c r="E66" s="552">
        <v>142</v>
      </c>
      <c r="F66" s="554">
        <v>3913610</v>
      </c>
      <c r="G66" s="554">
        <v>0</v>
      </c>
      <c r="H66" s="554">
        <v>3913610</v>
      </c>
      <c r="I66" s="554">
        <v>0</v>
      </c>
      <c r="J66" s="554">
        <v>3913610</v>
      </c>
      <c r="K66" s="554">
        <v>0</v>
      </c>
      <c r="L66" s="554">
        <v>3913610</v>
      </c>
      <c r="M66" s="554">
        <v>12435</v>
      </c>
      <c r="N66" s="554">
        <v>12435</v>
      </c>
      <c r="O66" s="554">
        <v>0</v>
      </c>
      <c r="P66" s="448">
        <f t="shared" si="1"/>
        <v>3913610</v>
      </c>
    </row>
    <row r="67" spans="1:16" ht="17.100000000000001" customHeight="1" x14ac:dyDescent="0.2">
      <c r="A67" s="446" t="str">
        <f t="shared" si="3"/>
        <v>174257-4-142</v>
      </c>
      <c r="B67" s="547">
        <v>174257</v>
      </c>
      <c r="C67" s="548">
        <v>4</v>
      </c>
      <c r="D67" s="549" t="s">
        <v>7</v>
      </c>
      <c r="E67" s="548">
        <v>142</v>
      </c>
      <c r="F67" s="550">
        <v>197500</v>
      </c>
      <c r="G67" s="550">
        <v>0</v>
      </c>
      <c r="H67" s="550">
        <v>197500</v>
      </c>
      <c r="I67" s="550">
        <v>0</v>
      </c>
      <c r="J67" s="550">
        <v>197500</v>
      </c>
      <c r="K67" s="550">
        <v>0</v>
      </c>
      <c r="L67" s="550">
        <v>197500</v>
      </c>
      <c r="M67" s="550">
        <v>7500</v>
      </c>
      <c r="N67" s="550">
        <v>7500</v>
      </c>
      <c r="O67" s="550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551">
        <v>174258</v>
      </c>
      <c r="C68" s="552">
        <v>3</v>
      </c>
      <c r="D68" s="553" t="s">
        <v>8</v>
      </c>
      <c r="E68" s="552">
        <v>142</v>
      </c>
      <c r="F68" s="554">
        <v>1800000</v>
      </c>
      <c r="G68" s="554">
        <v>0</v>
      </c>
      <c r="H68" s="554">
        <v>1800000</v>
      </c>
      <c r="I68" s="554">
        <v>-305000</v>
      </c>
      <c r="J68" s="554">
        <v>1495000</v>
      </c>
      <c r="K68" s="554">
        <v>0</v>
      </c>
      <c r="L68" s="554">
        <v>1495000</v>
      </c>
      <c r="M68" s="554">
        <v>1606.68999999994</v>
      </c>
      <c r="N68" s="554">
        <v>1606.69</v>
      </c>
      <c r="O68" s="554">
        <v>0</v>
      </c>
      <c r="P68" s="448">
        <f t="shared" si="1"/>
        <v>1495000</v>
      </c>
    </row>
    <row r="69" spans="1:16" ht="17.100000000000001" customHeight="1" x14ac:dyDescent="0.2">
      <c r="A69" s="446" t="str">
        <f t="shared" si="3"/>
        <v>174258-4-142</v>
      </c>
      <c r="B69" s="547">
        <v>174258</v>
      </c>
      <c r="C69" s="548">
        <v>4</v>
      </c>
      <c r="D69" s="549" t="s">
        <v>7</v>
      </c>
      <c r="E69" s="548">
        <v>142</v>
      </c>
      <c r="F69" s="550">
        <v>1400000</v>
      </c>
      <c r="G69" s="550">
        <v>0</v>
      </c>
      <c r="H69" s="550">
        <v>1400000</v>
      </c>
      <c r="I69" s="550">
        <v>-639075</v>
      </c>
      <c r="J69" s="550">
        <v>760925</v>
      </c>
      <c r="K69" s="550">
        <v>0</v>
      </c>
      <c r="L69" s="550">
        <v>760925</v>
      </c>
      <c r="M69" s="550">
        <v>86121</v>
      </c>
      <c r="N69" s="550">
        <v>86121</v>
      </c>
      <c r="O69" s="550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551">
        <v>174259</v>
      </c>
      <c r="C70" s="552">
        <v>3</v>
      </c>
      <c r="D70" s="553" t="s">
        <v>8</v>
      </c>
      <c r="E70" s="552">
        <v>142</v>
      </c>
      <c r="F70" s="554">
        <v>150000</v>
      </c>
      <c r="G70" s="554">
        <v>0</v>
      </c>
      <c r="H70" s="554">
        <v>150000</v>
      </c>
      <c r="I70" s="554">
        <v>0</v>
      </c>
      <c r="J70" s="554">
        <v>150000</v>
      </c>
      <c r="K70" s="554">
        <v>0</v>
      </c>
      <c r="L70" s="554">
        <v>150000</v>
      </c>
      <c r="M70" s="554">
        <v>3210.1099999999901</v>
      </c>
      <c r="N70" s="554">
        <v>3210.11</v>
      </c>
      <c r="O70" s="554"/>
      <c r="P70" s="448">
        <f t="shared" si="1"/>
        <v>150000</v>
      </c>
    </row>
    <row r="71" spans="1:16" ht="17.100000000000001" customHeight="1" x14ac:dyDescent="0.2">
      <c r="A71" s="446" t="str">
        <f t="shared" si="3"/>
        <v>174260-3-142</v>
      </c>
      <c r="B71" s="547">
        <v>174260</v>
      </c>
      <c r="C71" s="548">
        <v>3</v>
      </c>
      <c r="D71" s="549" t="s">
        <v>8</v>
      </c>
      <c r="E71" s="548">
        <v>142</v>
      </c>
      <c r="F71" s="550">
        <v>1685000</v>
      </c>
      <c r="G71" s="550">
        <v>0</v>
      </c>
      <c r="H71" s="550">
        <v>1685000</v>
      </c>
      <c r="I71" s="550">
        <v>-107000</v>
      </c>
      <c r="J71" s="550">
        <v>1578000</v>
      </c>
      <c r="K71" s="550">
        <v>0</v>
      </c>
      <c r="L71" s="550">
        <v>1578000</v>
      </c>
      <c r="M71" s="550">
        <v>0.239999999990687</v>
      </c>
      <c r="N71" s="550">
        <v>0.24</v>
      </c>
      <c r="O71" s="550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551">
        <v>174261</v>
      </c>
      <c r="C72" s="552">
        <v>3</v>
      </c>
      <c r="D72" s="553" t="s">
        <v>8</v>
      </c>
      <c r="E72" s="552">
        <v>142</v>
      </c>
      <c r="F72" s="554">
        <v>16000000</v>
      </c>
      <c r="G72" s="554">
        <v>0</v>
      </c>
      <c r="H72" s="554">
        <v>16000000</v>
      </c>
      <c r="I72" s="554">
        <v>-1100000</v>
      </c>
      <c r="J72" s="554">
        <v>14900000</v>
      </c>
      <c r="K72" s="554">
        <v>0</v>
      </c>
      <c r="L72" s="554">
        <v>14900000</v>
      </c>
      <c r="M72" s="554">
        <v>0.31000000052154097</v>
      </c>
      <c r="N72" s="554">
        <v>0.31</v>
      </c>
      <c r="O72" s="554">
        <v>0</v>
      </c>
      <c r="P72" s="448">
        <f t="shared" si="1"/>
        <v>14900000</v>
      </c>
    </row>
    <row r="73" spans="1:16" ht="17.100000000000001" customHeight="1" x14ac:dyDescent="0.2">
      <c r="A73" s="446" t="str">
        <f t="shared" si="3"/>
        <v>174262-3-142</v>
      </c>
      <c r="B73" s="547">
        <v>174262</v>
      </c>
      <c r="C73" s="548">
        <v>3</v>
      </c>
      <c r="D73" s="549" t="s">
        <v>8</v>
      </c>
      <c r="E73" s="548">
        <v>142</v>
      </c>
      <c r="F73" s="550">
        <v>2126000</v>
      </c>
      <c r="G73" s="550">
        <v>0</v>
      </c>
      <c r="H73" s="550">
        <v>2126000</v>
      </c>
      <c r="I73" s="550">
        <v>0</v>
      </c>
      <c r="J73" s="550">
        <v>2126000</v>
      </c>
      <c r="K73" s="550">
        <v>0</v>
      </c>
      <c r="L73" s="550">
        <v>2126000</v>
      </c>
      <c r="M73" s="550">
        <v>149612.48000000001</v>
      </c>
      <c r="N73" s="550">
        <v>149612.48000000001</v>
      </c>
      <c r="O73" s="550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551">
        <v>174262</v>
      </c>
      <c r="C74" s="552">
        <v>4</v>
      </c>
      <c r="D74" s="553" t="s">
        <v>7</v>
      </c>
      <c r="E74" s="552">
        <v>142</v>
      </c>
      <c r="F74" s="554">
        <v>495000</v>
      </c>
      <c r="G74" s="554">
        <v>0</v>
      </c>
      <c r="H74" s="554">
        <v>495000</v>
      </c>
      <c r="I74" s="554">
        <v>0</v>
      </c>
      <c r="J74" s="554">
        <v>495000</v>
      </c>
      <c r="K74" s="554">
        <v>0</v>
      </c>
      <c r="L74" s="554">
        <v>495000</v>
      </c>
      <c r="M74" s="554">
        <v>5711.2000000000098</v>
      </c>
      <c r="N74" s="554">
        <v>5711.2</v>
      </c>
      <c r="O74" s="554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547">
        <v>174263</v>
      </c>
      <c r="C75" s="548">
        <v>3</v>
      </c>
      <c r="D75" s="549" t="s">
        <v>8</v>
      </c>
      <c r="E75" s="548">
        <v>142</v>
      </c>
      <c r="F75" s="550">
        <v>700000</v>
      </c>
      <c r="G75" s="550">
        <v>0</v>
      </c>
      <c r="H75" s="550">
        <v>700000</v>
      </c>
      <c r="I75" s="550">
        <v>-45000</v>
      </c>
      <c r="J75" s="550">
        <v>655000</v>
      </c>
      <c r="K75" s="550">
        <v>0</v>
      </c>
      <c r="L75" s="550">
        <v>655000</v>
      </c>
      <c r="M75" s="550">
        <v>44684.25</v>
      </c>
      <c r="N75" s="550">
        <v>44684.25</v>
      </c>
      <c r="O75" s="550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551">
        <v>174263</v>
      </c>
      <c r="C76" s="552">
        <v>4</v>
      </c>
      <c r="D76" s="553" t="s">
        <v>7</v>
      </c>
      <c r="E76" s="552">
        <v>142</v>
      </c>
      <c r="F76" s="554">
        <v>100000</v>
      </c>
      <c r="G76" s="554">
        <v>0</v>
      </c>
      <c r="H76" s="554">
        <v>100000</v>
      </c>
      <c r="I76" s="554">
        <v>400000</v>
      </c>
      <c r="J76" s="554">
        <v>500000</v>
      </c>
      <c r="K76" s="554">
        <v>0</v>
      </c>
      <c r="L76" s="554">
        <v>500000</v>
      </c>
      <c r="M76" s="554">
        <v>73594</v>
      </c>
      <c r="N76" s="554">
        <v>73594</v>
      </c>
      <c r="O76" s="554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547">
        <v>174264</v>
      </c>
      <c r="C77" s="548">
        <v>3</v>
      </c>
      <c r="D77" s="549" t="s">
        <v>8</v>
      </c>
      <c r="E77" s="548">
        <v>142</v>
      </c>
      <c r="F77" s="550">
        <v>3500000</v>
      </c>
      <c r="G77" s="550">
        <v>0</v>
      </c>
      <c r="H77" s="550">
        <v>3500000</v>
      </c>
      <c r="I77" s="550">
        <v>-200000</v>
      </c>
      <c r="J77" s="550">
        <v>3300000</v>
      </c>
      <c r="K77" s="550">
        <v>0</v>
      </c>
      <c r="L77" s="550">
        <v>3300000</v>
      </c>
      <c r="M77" s="550">
        <v>0</v>
      </c>
      <c r="N77" s="550">
        <v>0</v>
      </c>
      <c r="O77" s="550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551">
        <v>174264</v>
      </c>
      <c r="C78" s="552">
        <v>4</v>
      </c>
      <c r="D78" s="553" t="s">
        <v>7</v>
      </c>
      <c r="E78" s="552">
        <v>142</v>
      </c>
      <c r="F78" s="554">
        <v>1400000</v>
      </c>
      <c r="G78" s="554">
        <v>0</v>
      </c>
      <c r="H78" s="554">
        <v>1400000</v>
      </c>
      <c r="I78" s="554">
        <v>-483611</v>
      </c>
      <c r="J78" s="554">
        <v>916389</v>
      </c>
      <c r="K78" s="554">
        <v>0</v>
      </c>
      <c r="L78" s="554">
        <v>916389</v>
      </c>
      <c r="M78" s="554">
        <v>168606.75</v>
      </c>
      <c r="N78" s="554">
        <v>168606.75</v>
      </c>
      <c r="O78" s="554">
        <v>0</v>
      </c>
      <c r="P78" s="448">
        <f t="shared" si="1"/>
        <v>916389</v>
      </c>
    </row>
    <row r="79" spans="1:16" ht="17.100000000000001" customHeight="1" x14ac:dyDescent="0.2">
      <c r="A79" s="446" t="str">
        <f t="shared" si="3"/>
        <v>174265-3-142</v>
      </c>
      <c r="B79" s="547">
        <v>174265</v>
      </c>
      <c r="C79" s="548">
        <v>3</v>
      </c>
      <c r="D79" s="549" t="s">
        <v>8</v>
      </c>
      <c r="E79" s="548">
        <v>142</v>
      </c>
      <c r="F79" s="550">
        <v>695000</v>
      </c>
      <c r="G79" s="550">
        <v>0</v>
      </c>
      <c r="H79" s="550">
        <v>695000</v>
      </c>
      <c r="I79" s="550">
        <v>-292000</v>
      </c>
      <c r="J79" s="550">
        <v>403000</v>
      </c>
      <c r="K79" s="550">
        <v>0</v>
      </c>
      <c r="L79" s="550">
        <v>403000</v>
      </c>
      <c r="M79" s="550">
        <v>53616.83</v>
      </c>
      <c r="N79" s="550">
        <v>53616.83</v>
      </c>
      <c r="O79" s="550">
        <v>0</v>
      </c>
      <c r="P79" s="449">
        <f>+L79-O79</f>
        <v>403000</v>
      </c>
    </row>
    <row r="80" spans="1:16" ht="17.100000000000001" customHeight="1" x14ac:dyDescent="0.2">
      <c r="A80" s="446" t="str">
        <f t="shared" si="3"/>
        <v>174266-3-142</v>
      </c>
      <c r="B80" s="551">
        <v>174266</v>
      </c>
      <c r="C80" s="552">
        <v>3</v>
      </c>
      <c r="D80" s="553" t="s">
        <v>8</v>
      </c>
      <c r="E80" s="552">
        <v>142</v>
      </c>
      <c r="F80" s="554">
        <v>400000</v>
      </c>
      <c r="G80" s="554">
        <v>0</v>
      </c>
      <c r="H80" s="554">
        <v>400000</v>
      </c>
      <c r="I80" s="554">
        <v>-400000</v>
      </c>
      <c r="J80" s="554">
        <v>0</v>
      </c>
      <c r="K80" s="554">
        <v>0</v>
      </c>
      <c r="L80" s="554">
        <v>0</v>
      </c>
      <c r="M80" s="554">
        <v>0</v>
      </c>
      <c r="N80" s="554">
        <v>0</v>
      </c>
      <c r="O80" s="554">
        <v>0</v>
      </c>
      <c r="P80" s="448">
        <f t="shared" si="1"/>
        <v>0</v>
      </c>
    </row>
    <row r="81" spans="1:16" ht="17.100000000000001" customHeight="1" x14ac:dyDescent="0.2">
      <c r="A81" s="446" t="str">
        <f t="shared" si="3"/>
        <v>174267-3-142</v>
      </c>
      <c r="B81" s="547">
        <v>174267</v>
      </c>
      <c r="C81" s="548">
        <v>3</v>
      </c>
      <c r="D81" s="549" t="s">
        <v>8</v>
      </c>
      <c r="E81" s="548">
        <v>142</v>
      </c>
      <c r="F81" s="550">
        <v>2007890</v>
      </c>
      <c r="G81" s="550">
        <v>0</v>
      </c>
      <c r="H81" s="550">
        <v>2007890</v>
      </c>
      <c r="I81" s="550">
        <v>-465725</v>
      </c>
      <c r="J81" s="550">
        <v>1542165</v>
      </c>
      <c r="K81" s="550">
        <v>0</v>
      </c>
      <c r="L81" s="550">
        <v>1542165</v>
      </c>
      <c r="M81" s="550">
        <v>179714.66</v>
      </c>
      <c r="N81" s="550">
        <v>179714.66</v>
      </c>
      <c r="O81" s="550">
        <v>0</v>
      </c>
      <c r="P81" s="449">
        <f>+L81-O81</f>
        <v>1542165</v>
      </c>
    </row>
    <row r="82" spans="1:16" ht="17.100000000000001" customHeight="1" x14ac:dyDescent="0.2">
      <c r="A82" s="446" t="str">
        <f t="shared" si="3"/>
        <v>174267-4-142</v>
      </c>
      <c r="B82" s="551">
        <v>174267</v>
      </c>
      <c r="C82" s="552">
        <v>4</v>
      </c>
      <c r="D82" s="553" t="s">
        <v>7</v>
      </c>
      <c r="E82" s="552">
        <v>142</v>
      </c>
      <c r="F82" s="554">
        <v>110000</v>
      </c>
      <c r="G82" s="554">
        <v>0</v>
      </c>
      <c r="H82" s="554">
        <v>110000</v>
      </c>
      <c r="I82" s="554">
        <v>0</v>
      </c>
      <c r="J82" s="554">
        <v>110000</v>
      </c>
      <c r="K82" s="554">
        <v>0</v>
      </c>
      <c r="L82" s="554">
        <v>110000</v>
      </c>
      <c r="M82" s="554">
        <v>0</v>
      </c>
      <c r="N82" s="554">
        <v>0</v>
      </c>
      <c r="O82" s="554"/>
      <c r="P82" s="448">
        <f t="shared" si="1"/>
        <v>110000</v>
      </c>
    </row>
    <row r="83" spans="1:16" ht="17.100000000000001" customHeight="1" x14ac:dyDescent="0.2">
      <c r="A83" s="446" t="str">
        <f t="shared" si="3"/>
        <v>174268-3-142</v>
      </c>
      <c r="B83" s="547">
        <v>174268</v>
      </c>
      <c r="C83" s="548">
        <v>3</v>
      </c>
      <c r="D83" s="549" t="s">
        <v>8</v>
      </c>
      <c r="E83" s="548">
        <v>142</v>
      </c>
      <c r="F83" s="550">
        <v>800000</v>
      </c>
      <c r="G83" s="550">
        <v>0</v>
      </c>
      <c r="H83" s="550">
        <v>800000</v>
      </c>
      <c r="I83" s="550">
        <v>-100000</v>
      </c>
      <c r="J83" s="550">
        <v>700000</v>
      </c>
      <c r="K83" s="550">
        <v>0</v>
      </c>
      <c r="L83" s="550">
        <v>700000</v>
      </c>
      <c r="M83" s="550">
        <v>5.5</v>
      </c>
      <c r="N83" s="550">
        <v>5.5</v>
      </c>
      <c r="O83" s="550">
        <v>0</v>
      </c>
      <c r="P83" s="449">
        <f>+L83-O83</f>
        <v>700000</v>
      </c>
    </row>
    <row r="84" spans="1:16" ht="17.100000000000001" customHeight="1" x14ac:dyDescent="0.2">
      <c r="A84" s="446" t="str">
        <f t="shared" si="3"/>
        <v>174268-4-142</v>
      </c>
      <c r="B84" s="551">
        <v>174268</v>
      </c>
      <c r="C84" s="552">
        <v>4</v>
      </c>
      <c r="D84" s="553" t="s">
        <v>7</v>
      </c>
      <c r="E84" s="552">
        <v>142</v>
      </c>
      <c r="F84" s="554">
        <v>100000</v>
      </c>
      <c r="G84" s="554">
        <v>0</v>
      </c>
      <c r="H84" s="554">
        <v>100000</v>
      </c>
      <c r="I84" s="554">
        <v>0</v>
      </c>
      <c r="J84" s="554">
        <v>100000</v>
      </c>
      <c r="K84" s="554">
        <v>0</v>
      </c>
      <c r="L84" s="554">
        <v>100000</v>
      </c>
      <c r="M84" s="554">
        <v>84185.1</v>
      </c>
      <c r="N84" s="554">
        <v>84185.1</v>
      </c>
      <c r="O84" s="554"/>
      <c r="P84" s="448">
        <f t="shared" si="1"/>
        <v>100000</v>
      </c>
    </row>
    <row r="85" spans="1:16" ht="17.100000000000001" customHeight="1" x14ac:dyDescent="0.2">
      <c r="A85" s="446" t="str">
        <f t="shared" si="3"/>
        <v>174269-3-142</v>
      </c>
      <c r="B85" s="547">
        <v>174269</v>
      </c>
      <c r="C85" s="548">
        <v>3</v>
      </c>
      <c r="D85" s="549" t="s">
        <v>8</v>
      </c>
      <c r="E85" s="548">
        <v>142</v>
      </c>
      <c r="F85" s="550">
        <v>5000000</v>
      </c>
      <c r="G85" s="550">
        <v>0</v>
      </c>
      <c r="H85" s="550">
        <v>5000000</v>
      </c>
      <c r="I85" s="550">
        <v>-828074</v>
      </c>
      <c r="J85" s="550">
        <v>4171926</v>
      </c>
      <c r="K85" s="550">
        <v>0</v>
      </c>
      <c r="L85" s="550">
        <v>4171926</v>
      </c>
      <c r="M85" s="550">
        <v>1578.52000000002</v>
      </c>
      <c r="N85" s="550">
        <v>1578.52</v>
      </c>
      <c r="O85" s="550">
        <v>0</v>
      </c>
      <c r="P85" s="449">
        <f>+L85-O85</f>
        <v>4171926</v>
      </c>
    </row>
    <row r="86" spans="1:16" ht="17.100000000000001" customHeight="1" x14ac:dyDescent="0.2">
      <c r="A86" s="446" t="str">
        <f t="shared" si="3"/>
        <v>174270-3-142</v>
      </c>
      <c r="B86" s="551">
        <v>174270</v>
      </c>
      <c r="C86" s="552">
        <v>3</v>
      </c>
      <c r="D86" s="553" t="s">
        <v>8</v>
      </c>
      <c r="E86" s="552">
        <v>142</v>
      </c>
      <c r="F86" s="554">
        <v>2950000</v>
      </c>
      <c r="G86" s="554">
        <v>0</v>
      </c>
      <c r="H86" s="554">
        <v>2950000</v>
      </c>
      <c r="I86" s="554">
        <v>-309000</v>
      </c>
      <c r="J86" s="554">
        <v>2641000</v>
      </c>
      <c r="K86" s="554">
        <v>0</v>
      </c>
      <c r="L86" s="554">
        <v>2641000</v>
      </c>
      <c r="M86" s="554">
        <v>0</v>
      </c>
      <c r="N86" s="554">
        <v>0</v>
      </c>
      <c r="O86" s="554">
        <v>0</v>
      </c>
      <c r="P86" s="448">
        <f t="shared" si="1"/>
        <v>2641000</v>
      </c>
    </row>
    <row r="87" spans="1:16" ht="17.100000000000001" customHeight="1" x14ac:dyDescent="0.2">
      <c r="A87" s="446" t="str">
        <f t="shared" si="3"/>
        <v>174271-3-142</v>
      </c>
      <c r="B87" s="547">
        <v>174271</v>
      </c>
      <c r="C87" s="548">
        <v>3</v>
      </c>
      <c r="D87" s="549" t="s">
        <v>8</v>
      </c>
      <c r="E87" s="548">
        <v>142</v>
      </c>
      <c r="F87" s="550">
        <v>700000</v>
      </c>
      <c r="G87" s="550">
        <v>0</v>
      </c>
      <c r="H87" s="550">
        <v>700000</v>
      </c>
      <c r="I87" s="550">
        <v>-100000</v>
      </c>
      <c r="J87" s="550">
        <v>600000</v>
      </c>
      <c r="K87" s="550">
        <v>0</v>
      </c>
      <c r="L87" s="550">
        <v>600000</v>
      </c>
      <c r="M87" s="550">
        <v>201086.37</v>
      </c>
      <c r="N87" s="550">
        <v>201086.37</v>
      </c>
      <c r="O87" s="550">
        <v>0</v>
      </c>
      <c r="P87" s="449">
        <f>+L87-O87</f>
        <v>600000</v>
      </c>
    </row>
    <row r="88" spans="1:16" ht="17.100000000000001" customHeight="1" x14ac:dyDescent="0.2">
      <c r="A88" s="446" t="str">
        <f t="shared" si="3"/>
        <v>174271-4-142</v>
      </c>
      <c r="B88" s="551">
        <v>174271</v>
      </c>
      <c r="C88" s="552">
        <v>4</v>
      </c>
      <c r="D88" s="553" t="s">
        <v>7</v>
      </c>
      <c r="E88" s="552">
        <v>142</v>
      </c>
      <c r="F88" s="554">
        <v>100000</v>
      </c>
      <c r="G88" s="554">
        <v>0</v>
      </c>
      <c r="H88" s="554">
        <v>100000</v>
      </c>
      <c r="I88" s="554">
        <v>0</v>
      </c>
      <c r="J88" s="554">
        <v>100000</v>
      </c>
      <c r="K88" s="554">
        <v>0</v>
      </c>
      <c r="L88" s="554">
        <v>100000</v>
      </c>
      <c r="M88" s="554">
        <v>0</v>
      </c>
      <c r="N88" s="554">
        <v>0</v>
      </c>
      <c r="O88" s="554"/>
      <c r="P88" s="448">
        <f t="shared" si="1"/>
        <v>100000</v>
      </c>
    </row>
    <row r="89" spans="1:16" ht="17.100000000000001" customHeight="1" x14ac:dyDescent="0.2">
      <c r="A89" s="446" t="str">
        <f t="shared" si="3"/>
        <v>174272-3-142</v>
      </c>
      <c r="B89" s="547">
        <v>174272</v>
      </c>
      <c r="C89" s="548">
        <v>3</v>
      </c>
      <c r="D89" s="549" t="s">
        <v>8</v>
      </c>
      <c r="E89" s="548">
        <v>142</v>
      </c>
      <c r="F89" s="550">
        <v>1000000</v>
      </c>
      <c r="G89" s="550">
        <v>0</v>
      </c>
      <c r="H89" s="550">
        <v>1000000</v>
      </c>
      <c r="I89" s="550">
        <v>-589075</v>
      </c>
      <c r="J89" s="550">
        <v>410925</v>
      </c>
      <c r="K89" s="550">
        <v>0</v>
      </c>
      <c r="L89" s="550">
        <v>410925</v>
      </c>
      <c r="M89" s="550">
        <v>13849.31</v>
      </c>
      <c r="N89" s="550">
        <v>13849.31</v>
      </c>
      <c r="O89" s="550">
        <v>0</v>
      </c>
      <c r="P89" s="449">
        <f>+L89-O89</f>
        <v>410925</v>
      </c>
    </row>
    <row r="90" spans="1:16" ht="17.100000000000001" customHeight="1" x14ac:dyDescent="0.2">
      <c r="A90" s="446" t="str">
        <f t="shared" si="3"/>
        <v>174273-3-142</v>
      </c>
      <c r="B90" s="551">
        <v>174273</v>
      </c>
      <c r="C90" s="552">
        <v>3</v>
      </c>
      <c r="D90" s="553" t="s">
        <v>8</v>
      </c>
      <c r="E90" s="552">
        <v>142</v>
      </c>
      <c r="F90" s="554">
        <v>1000000</v>
      </c>
      <c r="G90" s="554">
        <v>0</v>
      </c>
      <c r="H90" s="554">
        <v>1000000</v>
      </c>
      <c r="I90" s="554">
        <v>0</v>
      </c>
      <c r="J90" s="554">
        <v>1000000</v>
      </c>
      <c r="K90" s="554">
        <v>0</v>
      </c>
      <c r="L90" s="554">
        <v>1000000</v>
      </c>
      <c r="M90" s="554">
        <v>0</v>
      </c>
      <c r="N90" s="554">
        <v>0</v>
      </c>
      <c r="O90" s="554"/>
      <c r="P90" s="451">
        <f t="shared" si="1"/>
        <v>1000000</v>
      </c>
    </row>
    <row r="91" spans="1:16" ht="17.100000000000001" customHeight="1" x14ac:dyDescent="0.2">
      <c r="A91" s="446" t="str">
        <f t="shared" si="3"/>
        <v>195063-3-100</v>
      </c>
      <c r="B91" s="547">
        <v>195063</v>
      </c>
      <c r="C91" s="548">
        <v>3</v>
      </c>
      <c r="D91" s="549" t="s">
        <v>8</v>
      </c>
      <c r="E91" s="548">
        <v>100</v>
      </c>
      <c r="F91" s="550">
        <v>1949502</v>
      </c>
      <c r="G91" s="550">
        <v>0</v>
      </c>
      <c r="H91" s="550">
        <v>1949502</v>
      </c>
      <c r="I91" s="550">
        <v>0</v>
      </c>
      <c r="J91" s="550">
        <v>1949502</v>
      </c>
      <c r="K91" s="550">
        <v>0</v>
      </c>
      <c r="L91" s="550">
        <v>1949502</v>
      </c>
      <c r="M91" s="550">
        <v>1153881.19</v>
      </c>
      <c r="N91" s="550">
        <v>1169090.5900000001</v>
      </c>
      <c r="O91" s="550"/>
      <c r="P91" s="452">
        <f>+L91-O91</f>
        <v>1949502</v>
      </c>
    </row>
    <row r="92" spans="1:16" ht="17.100000000000001" customHeight="1" x14ac:dyDescent="0.2">
      <c r="A92" s="446" t="str">
        <f t="shared" si="3"/>
        <v>195065-3-100</v>
      </c>
      <c r="B92" s="551">
        <v>195065</v>
      </c>
      <c r="C92" s="552">
        <v>3</v>
      </c>
      <c r="D92" s="553" t="s">
        <v>8</v>
      </c>
      <c r="E92" s="552">
        <v>100</v>
      </c>
      <c r="F92" s="554">
        <v>233177</v>
      </c>
      <c r="G92" s="554">
        <v>0</v>
      </c>
      <c r="H92" s="554">
        <v>233177</v>
      </c>
      <c r="I92" s="554">
        <v>0</v>
      </c>
      <c r="J92" s="554">
        <v>233177</v>
      </c>
      <c r="K92" s="554">
        <v>0</v>
      </c>
      <c r="L92" s="554">
        <v>233177</v>
      </c>
      <c r="M92" s="554">
        <v>153157.78</v>
      </c>
      <c r="N92" s="554">
        <v>153157.78</v>
      </c>
      <c r="O92" s="554"/>
      <c r="P92" s="451">
        <f t="shared" si="1"/>
        <v>233177</v>
      </c>
    </row>
    <row r="93" spans="1:16" ht="17.100000000000001" customHeight="1" x14ac:dyDescent="0.2">
      <c r="A93" s="446" t="str">
        <f t="shared" si="3"/>
        <v>195067-3-100</v>
      </c>
      <c r="B93" s="547">
        <v>195067</v>
      </c>
      <c r="C93" s="548">
        <v>3</v>
      </c>
      <c r="D93" s="549" t="s">
        <v>8</v>
      </c>
      <c r="E93" s="548">
        <v>100</v>
      </c>
      <c r="F93" s="550">
        <v>17628738</v>
      </c>
      <c r="G93" s="550">
        <v>0</v>
      </c>
      <c r="H93" s="550">
        <v>17628738</v>
      </c>
      <c r="I93" s="550">
        <v>0</v>
      </c>
      <c r="J93" s="550">
        <v>17628738</v>
      </c>
      <c r="K93" s="550">
        <v>0</v>
      </c>
      <c r="L93" s="550">
        <v>17628738</v>
      </c>
      <c r="M93" s="550">
        <v>8983331.6799999997</v>
      </c>
      <c r="N93" s="550">
        <v>8983331.6799999997</v>
      </c>
      <c r="O93" s="550"/>
      <c r="P93" s="452">
        <f>+L93-O93</f>
        <v>17628738</v>
      </c>
    </row>
    <row r="94" spans="1:16" ht="17.100000000000001" customHeight="1" x14ac:dyDescent="0.2">
      <c r="A94" s="446" t="str">
        <f t="shared" ref="A94:A97" si="4">CONCATENATE(B94,"-",C94,"-",E94)</f>
        <v>204816-3-181</v>
      </c>
      <c r="B94" s="551">
        <v>204816</v>
      </c>
      <c r="C94" s="552">
        <v>3</v>
      </c>
      <c r="D94" s="553" t="s">
        <v>8</v>
      </c>
      <c r="E94" s="552">
        <v>181</v>
      </c>
      <c r="F94" s="554">
        <v>800000</v>
      </c>
      <c r="G94" s="554">
        <v>0</v>
      </c>
      <c r="H94" s="554">
        <v>800000</v>
      </c>
      <c r="I94" s="554">
        <v>0</v>
      </c>
      <c r="J94" s="554">
        <v>800000</v>
      </c>
      <c r="K94" s="554">
        <v>0</v>
      </c>
      <c r="L94" s="554">
        <v>800000</v>
      </c>
      <c r="M94" s="554">
        <v>443187.23</v>
      </c>
      <c r="N94" s="554">
        <v>443187.23</v>
      </c>
      <c r="O94" s="554"/>
      <c r="P94" s="451">
        <f t="shared" si="1"/>
        <v>800000</v>
      </c>
    </row>
    <row r="95" spans="1:16" ht="17.100000000000001" customHeight="1" x14ac:dyDescent="0.2">
      <c r="A95" s="446" t="str">
        <f t="shared" si="4"/>
        <v>204817-3-181</v>
      </c>
      <c r="B95" s="547">
        <v>204817</v>
      </c>
      <c r="C95" s="548">
        <v>3</v>
      </c>
      <c r="D95" s="549" t="s">
        <v>8</v>
      </c>
      <c r="E95" s="548">
        <v>181</v>
      </c>
      <c r="F95" s="550">
        <v>700000</v>
      </c>
      <c r="G95" s="550">
        <v>0</v>
      </c>
      <c r="H95" s="550">
        <v>700000</v>
      </c>
      <c r="I95" s="550">
        <v>0</v>
      </c>
      <c r="J95" s="550">
        <v>700000</v>
      </c>
      <c r="K95" s="550">
        <v>0</v>
      </c>
      <c r="L95" s="550">
        <v>700000</v>
      </c>
      <c r="M95" s="550">
        <v>586451.37</v>
      </c>
      <c r="N95" s="550">
        <v>586451.37</v>
      </c>
      <c r="O95" s="550"/>
      <c r="P95" s="452">
        <f>+L95-O95</f>
        <v>700000</v>
      </c>
    </row>
    <row r="96" spans="1:16" ht="17.100000000000001" customHeight="1" x14ac:dyDescent="0.2">
      <c r="A96" s="446" t="str">
        <f t="shared" si="4"/>
        <v>204818-3-142</v>
      </c>
      <c r="B96" s="551">
        <v>204818</v>
      </c>
      <c r="C96" s="552">
        <v>3</v>
      </c>
      <c r="D96" s="553" t="s">
        <v>8</v>
      </c>
      <c r="E96" s="552">
        <v>142</v>
      </c>
      <c r="F96" s="554">
        <v>1</v>
      </c>
      <c r="G96" s="554">
        <v>0</v>
      </c>
      <c r="H96" s="554">
        <v>1</v>
      </c>
      <c r="I96" s="554">
        <v>0</v>
      </c>
      <c r="J96" s="554">
        <v>1</v>
      </c>
      <c r="K96" s="554">
        <v>0</v>
      </c>
      <c r="L96" s="554">
        <v>1</v>
      </c>
      <c r="M96" s="554">
        <v>1</v>
      </c>
      <c r="N96" s="554">
        <v>1</v>
      </c>
      <c r="O96" s="554"/>
      <c r="P96" s="451">
        <f t="shared" si="1"/>
        <v>1</v>
      </c>
    </row>
    <row r="97" spans="1:16" ht="17.100000000000001" customHeight="1" x14ac:dyDescent="0.2">
      <c r="A97" s="446" t="str">
        <f t="shared" si="4"/>
        <v>213406-3-188</v>
      </c>
      <c r="B97" s="547">
        <v>213406</v>
      </c>
      <c r="C97" s="548">
        <v>3</v>
      </c>
      <c r="D97" s="549" t="s">
        <v>8</v>
      </c>
      <c r="E97" s="548">
        <v>188</v>
      </c>
      <c r="F97" s="550"/>
      <c r="G97" s="550">
        <v>0</v>
      </c>
      <c r="H97" s="550">
        <v>0</v>
      </c>
      <c r="I97" s="550">
        <v>200000</v>
      </c>
      <c r="J97" s="550">
        <v>200000</v>
      </c>
      <c r="K97" s="550">
        <v>0</v>
      </c>
      <c r="L97" s="550">
        <v>200000</v>
      </c>
      <c r="M97" s="550">
        <v>200000</v>
      </c>
      <c r="N97" s="550">
        <v>29522</v>
      </c>
      <c r="O97" s="550">
        <v>170478</v>
      </c>
      <c r="P97" s="452">
        <f>+L97-O97</f>
        <v>29522</v>
      </c>
    </row>
    <row r="98" spans="1:16" ht="16.5" customHeight="1" x14ac:dyDescent="0.2">
      <c r="A98" s="446"/>
      <c r="B98" s="555" t="s">
        <v>9</v>
      </c>
      <c r="C98" s="556"/>
      <c r="D98" s="556"/>
      <c r="E98" s="555"/>
      <c r="F98" s="557">
        <v>517546895</v>
      </c>
      <c r="G98" s="557">
        <v>-3436635</v>
      </c>
      <c r="H98" s="557">
        <v>514110260</v>
      </c>
      <c r="I98" s="557">
        <v>-2042547</v>
      </c>
      <c r="J98" s="557">
        <v>512067713</v>
      </c>
      <c r="K98" s="557">
        <v>0</v>
      </c>
      <c r="L98" s="557">
        <v>512067713</v>
      </c>
      <c r="M98" s="557">
        <v>150079142.13</v>
      </c>
      <c r="N98" s="557">
        <v>152836416.16</v>
      </c>
      <c r="O98" s="557">
        <v>455881</v>
      </c>
      <c r="P98" s="453">
        <f>+L98-O98</f>
        <v>511611832</v>
      </c>
    </row>
    <row r="100" spans="1:16" ht="17.100000000000001" customHeight="1" x14ac:dyDescent="0.2">
      <c r="M100" s="454"/>
      <c r="N100" s="455">
        <f>N98-'Execução Orçamentária'!P417</f>
        <v>0</v>
      </c>
    </row>
  </sheetData>
  <mergeCells count="16">
    <mergeCell ref="C98:D98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1"/>
  <sheetViews>
    <sheetView showGridLines="0" zoomScale="80" zoomScaleNormal="80" workbookViewId="0">
      <pane xSplit="1" ySplit="4" topLeftCell="B77" activePane="bottomRight" state="frozen"/>
      <selection activeCell="Q5" sqref="Q5:Q7"/>
      <selection pane="topRight" activeCell="Q5" sqref="Q5:Q7"/>
      <selection pane="bottomLeft" activeCell="Q5" sqref="Q5:Q7"/>
      <selection pane="bottomRight" activeCell="M91" sqref="M9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6" t="s">
        <v>48</v>
      </c>
      <c r="B3" s="489" t="s">
        <v>0</v>
      </c>
      <c r="C3" s="489" t="s">
        <v>1</v>
      </c>
      <c r="D3" s="489"/>
      <c r="E3" s="487" t="s">
        <v>349</v>
      </c>
      <c r="F3" s="481" t="s">
        <v>67</v>
      </c>
      <c r="G3" s="481" t="s">
        <v>50</v>
      </c>
      <c r="H3" s="481" t="s">
        <v>51</v>
      </c>
      <c r="I3" s="481" t="s">
        <v>52</v>
      </c>
      <c r="J3" s="481" t="s">
        <v>53</v>
      </c>
      <c r="K3" s="481" t="s">
        <v>54</v>
      </c>
      <c r="L3" s="481" t="s">
        <v>5</v>
      </c>
      <c r="M3" s="481" t="s">
        <v>12</v>
      </c>
    </row>
    <row r="4" spans="1:13" ht="32.1" customHeight="1" x14ac:dyDescent="0.2">
      <c r="A4" s="486"/>
      <c r="B4" s="489"/>
      <c r="C4" s="489"/>
      <c r="D4" s="489"/>
      <c r="E4" s="488"/>
      <c r="F4" s="482"/>
      <c r="G4" s="482"/>
      <c r="H4" s="482"/>
      <c r="I4" s="482"/>
      <c r="J4" s="482"/>
      <c r="K4" s="482"/>
      <c r="L4" s="482"/>
      <c r="M4" s="482"/>
    </row>
    <row r="5" spans="1:13" ht="20.100000000000001" customHeight="1" x14ac:dyDescent="0.2">
      <c r="A5" s="410" t="str">
        <f>CONCATENATE(B5,"-",C5,"-",E5)</f>
        <v>93045-1-100</v>
      </c>
      <c r="B5" s="547">
        <v>93045</v>
      </c>
      <c r="C5" s="548">
        <v>1</v>
      </c>
      <c r="D5" s="549" t="s">
        <v>11</v>
      </c>
      <c r="E5" s="548">
        <v>100</v>
      </c>
      <c r="F5" s="558">
        <v>1264597</v>
      </c>
      <c r="G5" s="558">
        <v>1264597</v>
      </c>
      <c r="H5" s="558">
        <v>0</v>
      </c>
      <c r="I5" s="558">
        <v>1264597</v>
      </c>
      <c r="J5" s="558">
        <v>0</v>
      </c>
      <c r="K5" s="558">
        <v>1264597</v>
      </c>
      <c r="L5" s="558">
        <v>0</v>
      </c>
      <c r="M5" s="558"/>
    </row>
    <row r="6" spans="1:13" ht="20.100000000000001" customHeight="1" x14ac:dyDescent="0.2">
      <c r="A6" s="410" t="str">
        <f t="shared" ref="A6:A70" si="0">CONCATENATE(B6,"-",C6,"-",E6)</f>
        <v>93045-3-100</v>
      </c>
      <c r="B6" s="551">
        <v>93045</v>
      </c>
      <c r="C6" s="552">
        <v>3</v>
      </c>
      <c r="D6" s="553" t="s">
        <v>8</v>
      </c>
      <c r="E6" s="552">
        <v>100</v>
      </c>
      <c r="F6" s="559">
        <v>258983.88</v>
      </c>
      <c r="G6" s="559">
        <v>258983.88</v>
      </c>
      <c r="H6" s="559">
        <v>0</v>
      </c>
      <c r="I6" s="559">
        <v>258983.88</v>
      </c>
      <c r="J6" s="559">
        <v>0</v>
      </c>
      <c r="K6" s="559">
        <v>258983.88</v>
      </c>
      <c r="L6" s="559">
        <v>0</v>
      </c>
      <c r="M6" s="559"/>
    </row>
    <row r="7" spans="1:13" ht="20.100000000000001" customHeight="1" x14ac:dyDescent="0.2">
      <c r="A7" s="410" t="str">
        <f t="shared" si="0"/>
        <v>93048-1-100</v>
      </c>
      <c r="B7" s="547">
        <v>93048</v>
      </c>
      <c r="C7" s="548">
        <v>1</v>
      </c>
      <c r="D7" s="549" t="s">
        <v>11</v>
      </c>
      <c r="E7" s="548">
        <v>100</v>
      </c>
      <c r="F7" s="558">
        <v>78650.55</v>
      </c>
      <c r="G7" s="558">
        <v>78650.55</v>
      </c>
      <c r="H7" s="558">
        <v>0</v>
      </c>
      <c r="I7" s="558">
        <v>78650.55</v>
      </c>
      <c r="J7" s="558">
        <v>0</v>
      </c>
      <c r="K7" s="558">
        <v>78650.55</v>
      </c>
      <c r="L7" s="558">
        <v>0</v>
      </c>
      <c r="M7" s="558"/>
    </row>
    <row r="8" spans="1:13" ht="20.100000000000001" customHeight="1" x14ac:dyDescent="0.2">
      <c r="A8" s="410" t="str">
        <f t="shared" si="0"/>
        <v>128805-3-142</v>
      </c>
      <c r="B8" s="551">
        <v>128805</v>
      </c>
      <c r="C8" s="552">
        <v>3</v>
      </c>
      <c r="D8" s="553" t="s">
        <v>8</v>
      </c>
      <c r="E8" s="552">
        <v>142</v>
      </c>
      <c r="F8" s="559">
        <v>27126.81</v>
      </c>
      <c r="G8" s="559">
        <v>27126.81</v>
      </c>
      <c r="H8" s="559">
        <v>0</v>
      </c>
      <c r="I8" s="559">
        <v>27126.81</v>
      </c>
      <c r="J8" s="559">
        <v>0</v>
      </c>
      <c r="K8" s="559">
        <v>27126.81</v>
      </c>
      <c r="L8" s="559">
        <v>0</v>
      </c>
      <c r="M8" s="559"/>
    </row>
    <row r="9" spans="1:13" ht="20.100000000000001" customHeight="1" x14ac:dyDescent="0.2">
      <c r="A9" s="410" t="str">
        <f t="shared" si="0"/>
        <v>128809-3-142</v>
      </c>
      <c r="B9" s="547">
        <v>128809</v>
      </c>
      <c r="C9" s="548">
        <v>3</v>
      </c>
      <c r="D9" s="549" t="s">
        <v>8</v>
      </c>
      <c r="E9" s="548">
        <v>142</v>
      </c>
      <c r="F9" s="558">
        <v>25557.87</v>
      </c>
      <c r="G9" s="558">
        <v>25557.87</v>
      </c>
      <c r="H9" s="558">
        <v>0</v>
      </c>
      <c r="I9" s="558">
        <v>25557.87</v>
      </c>
      <c r="J9" s="558">
        <v>0</v>
      </c>
      <c r="K9" s="558">
        <v>25557.87</v>
      </c>
      <c r="L9" s="558">
        <v>0</v>
      </c>
      <c r="M9" s="558"/>
    </row>
    <row r="10" spans="1:13" ht="20.100000000000001" customHeight="1" x14ac:dyDescent="0.2">
      <c r="A10" s="410" t="str">
        <f t="shared" si="0"/>
        <v>128811-3-142</v>
      </c>
      <c r="B10" s="551">
        <v>128811</v>
      </c>
      <c r="C10" s="552">
        <v>3</v>
      </c>
      <c r="D10" s="553" t="s">
        <v>8</v>
      </c>
      <c r="E10" s="552">
        <v>142</v>
      </c>
      <c r="F10" s="559">
        <v>69880.08</v>
      </c>
      <c r="G10" s="559">
        <v>69880.08</v>
      </c>
      <c r="H10" s="559">
        <v>0</v>
      </c>
      <c r="I10" s="559">
        <v>69880.08</v>
      </c>
      <c r="J10" s="559">
        <v>0</v>
      </c>
      <c r="K10" s="559">
        <v>69880.08</v>
      </c>
      <c r="L10" s="559">
        <v>0</v>
      </c>
      <c r="M10" s="559"/>
    </row>
    <row r="11" spans="1:13" ht="20.100000000000001" customHeight="1" x14ac:dyDescent="0.2">
      <c r="A11" s="410" t="str">
        <f t="shared" si="0"/>
        <v>139605-3-151</v>
      </c>
      <c r="B11" s="547">
        <v>139605</v>
      </c>
      <c r="C11" s="548">
        <v>3</v>
      </c>
      <c r="D11" s="549" t="s">
        <v>8</v>
      </c>
      <c r="E11" s="548">
        <v>151</v>
      </c>
      <c r="F11" s="558">
        <v>197886.65</v>
      </c>
      <c r="G11" s="558">
        <v>197886.65</v>
      </c>
      <c r="H11" s="558">
        <v>10608.15</v>
      </c>
      <c r="I11" s="558">
        <v>187278.5</v>
      </c>
      <c r="J11" s="558">
        <v>26204.07</v>
      </c>
      <c r="K11" s="558">
        <v>161074.43</v>
      </c>
      <c r="L11" s="558">
        <v>0</v>
      </c>
      <c r="M11" s="558"/>
    </row>
    <row r="12" spans="1:13" ht="20.100000000000001" customHeight="1" x14ac:dyDescent="0.2">
      <c r="A12" s="410" t="str">
        <f t="shared" si="0"/>
        <v>174222-1-100</v>
      </c>
      <c r="B12" s="551">
        <v>174222</v>
      </c>
      <c r="C12" s="552">
        <v>1</v>
      </c>
      <c r="D12" s="553" t="s">
        <v>11</v>
      </c>
      <c r="E12" s="552">
        <v>100</v>
      </c>
      <c r="F12" s="559">
        <v>214184639.28999999</v>
      </c>
      <c r="G12" s="559">
        <v>209585191</v>
      </c>
      <c r="H12" s="559">
        <v>14384565.279999999</v>
      </c>
      <c r="I12" s="559">
        <v>195200625.72</v>
      </c>
      <c r="J12" s="559">
        <v>20205032.52</v>
      </c>
      <c r="K12" s="559">
        <v>174995593.19999999</v>
      </c>
      <c r="L12" s="559">
        <v>4599448.29</v>
      </c>
      <c r="M12" s="559"/>
    </row>
    <row r="13" spans="1:13" ht="20.100000000000001" customHeight="1" x14ac:dyDescent="0.2">
      <c r="A13" s="410" t="str">
        <f t="shared" si="0"/>
        <v>174224-3-151</v>
      </c>
      <c r="B13" s="547">
        <v>174224</v>
      </c>
      <c r="C13" s="548">
        <v>3</v>
      </c>
      <c r="D13" s="549" t="s">
        <v>8</v>
      </c>
      <c r="E13" s="548">
        <v>151</v>
      </c>
      <c r="F13" s="558">
        <v>2794061.3</v>
      </c>
      <c r="G13" s="558">
        <v>2794061.3</v>
      </c>
      <c r="H13" s="558">
        <v>0</v>
      </c>
      <c r="I13" s="558">
        <v>2794061.3</v>
      </c>
      <c r="J13" s="558">
        <v>0</v>
      </c>
      <c r="K13" s="558">
        <v>2794061.3</v>
      </c>
      <c r="L13" s="558">
        <v>0</v>
      </c>
      <c r="M13" s="558"/>
    </row>
    <row r="14" spans="1:13" ht="20.100000000000001" customHeight="1" x14ac:dyDescent="0.2">
      <c r="A14" s="410" t="str">
        <f t="shared" si="0"/>
        <v>174224-3-188</v>
      </c>
      <c r="B14" s="551">
        <v>174224</v>
      </c>
      <c r="C14" s="552">
        <v>3</v>
      </c>
      <c r="D14" s="553" t="s">
        <v>8</v>
      </c>
      <c r="E14" s="552">
        <v>188</v>
      </c>
      <c r="F14" s="559">
        <v>20770213.510000002</v>
      </c>
      <c r="G14" s="559">
        <v>20766431.920000002</v>
      </c>
      <c r="H14" s="559">
        <v>11884202.33</v>
      </c>
      <c r="I14" s="559">
        <v>8882229.5899999999</v>
      </c>
      <c r="J14" s="559">
        <v>244246.57</v>
      </c>
      <c r="K14" s="559">
        <v>8637983.0199999996</v>
      </c>
      <c r="L14" s="559">
        <v>3781.59</v>
      </c>
      <c r="M14" s="559"/>
    </row>
    <row r="15" spans="1:13" ht="20.100000000000001" customHeight="1" x14ac:dyDescent="0.2">
      <c r="A15" s="410" t="str">
        <f t="shared" si="0"/>
        <v>174225-3-151</v>
      </c>
      <c r="B15" s="547">
        <v>174225</v>
      </c>
      <c r="C15" s="548">
        <v>3</v>
      </c>
      <c r="D15" s="549" t="s">
        <v>8</v>
      </c>
      <c r="E15" s="548">
        <v>151</v>
      </c>
      <c r="F15" s="558">
        <v>62005.71</v>
      </c>
      <c r="G15" s="558">
        <v>62005.71</v>
      </c>
      <c r="H15" s="558">
        <v>0</v>
      </c>
      <c r="I15" s="558">
        <v>62005.71</v>
      </c>
      <c r="J15" s="558">
        <v>0</v>
      </c>
      <c r="K15" s="558">
        <v>62005.71</v>
      </c>
      <c r="L15" s="558">
        <v>0</v>
      </c>
      <c r="M15" s="558"/>
    </row>
    <row r="16" spans="1:13" ht="20.100000000000001" customHeight="1" x14ac:dyDescent="0.2">
      <c r="A16" s="410" t="str">
        <f t="shared" si="0"/>
        <v>174225-3-188</v>
      </c>
      <c r="B16" s="551">
        <v>174225</v>
      </c>
      <c r="C16" s="552">
        <v>3</v>
      </c>
      <c r="D16" s="553" t="s">
        <v>8</v>
      </c>
      <c r="E16" s="552">
        <v>188</v>
      </c>
      <c r="F16" s="559">
        <v>404595.65</v>
      </c>
      <c r="G16" s="559">
        <v>307327.19</v>
      </c>
      <c r="H16" s="559">
        <v>60924.15</v>
      </c>
      <c r="I16" s="559">
        <v>246403.04</v>
      </c>
      <c r="J16" s="559">
        <v>5748.55</v>
      </c>
      <c r="K16" s="559">
        <v>240654.49</v>
      </c>
      <c r="L16" s="559">
        <v>97268.46</v>
      </c>
      <c r="M16" s="559"/>
    </row>
    <row r="17" spans="1:13" ht="20.100000000000001" customHeight="1" x14ac:dyDescent="0.2">
      <c r="A17" s="410" t="str">
        <f t="shared" si="0"/>
        <v>174230-3-142</v>
      </c>
      <c r="B17" s="547">
        <v>174230</v>
      </c>
      <c r="C17" s="548">
        <v>3</v>
      </c>
      <c r="D17" s="549" t="s">
        <v>8</v>
      </c>
      <c r="E17" s="548">
        <v>142</v>
      </c>
      <c r="F17" s="558">
        <v>265516.02</v>
      </c>
      <c r="G17" s="558">
        <v>162244.85</v>
      </c>
      <c r="H17" s="558">
        <v>55076.85</v>
      </c>
      <c r="I17" s="558">
        <v>107168</v>
      </c>
      <c r="J17" s="558">
        <v>4039.46</v>
      </c>
      <c r="K17" s="558">
        <v>103128.54</v>
      </c>
      <c r="L17" s="558">
        <v>103271.17</v>
      </c>
      <c r="M17" s="558"/>
    </row>
    <row r="18" spans="1:13" ht="20.100000000000001" customHeight="1" x14ac:dyDescent="0.2">
      <c r="A18" s="410" t="str">
        <f t="shared" si="0"/>
        <v>174231-3-142</v>
      </c>
      <c r="B18" s="551">
        <v>174231</v>
      </c>
      <c r="C18" s="552">
        <v>3</v>
      </c>
      <c r="D18" s="553" t="s">
        <v>8</v>
      </c>
      <c r="E18" s="552">
        <v>142</v>
      </c>
      <c r="F18" s="559">
        <v>460383.79</v>
      </c>
      <c r="G18" s="559">
        <v>435231.95</v>
      </c>
      <c r="H18" s="559">
        <v>257573.23</v>
      </c>
      <c r="I18" s="559">
        <v>177658.72</v>
      </c>
      <c r="J18" s="559">
        <v>50742.239999999998</v>
      </c>
      <c r="K18" s="559">
        <v>126916.48</v>
      </c>
      <c r="L18" s="559">
        <v>25151.84</v>
      </c>
      <c r="M18" s="559"/>
    </row>
    <row r="19" spans="1:13" ht="20.100000000000001" customHeight="1" x14ac:dyDescent="0.2">
      <c r="A19" s="410" t="str">
        <f t="shared" si="0"/>
        <v>174231-4-142</v>
      </c>
      <c r="B19" s="547">
        <v>174231</v>
      </c>
      <c r="C19" s="548">
        <v>4</v>
      </c>
      <c r="D19" s="549" t="s">
        <v>7</v>
      </c>
      <c r="E19" s="548">
        <v>142</v>
      </c>
      <c r="F19" s="558">
        <v>281210.06</v>
      </c>
      <c r="G19" s="558">
        <v>280949</v>
      </c>
      <c r="H19" s="558">
        <v>261957</v>
      </c>
      <c r="I19" s="558">
        <v>18992</v>
      </c>
      <c r="J19" s="558">
        <v>18992</v>
      </c>
      <c r="K19" s="558"/>
      <c r="L19" s="558">
        <v>261.06</v>
      </c>
      <c r="M19" s="558"/>
    </row>
    <row r="20" spans="1:13" ht="20.100000000000001" customHeight="1" x14ac:dyDescent="0.2">
      <c r="A20" s="410" t="str">
        <f t="shared" si="0"/>
        <v>174232-3-100</v>
      </c>
      <c r="B20" s="551">
        <v>174232</v>
      </c>
      <c r="C20" s="552">
        <v>3</v>
      </c>
      <c r="D20" s="553" t="s">
        <v>8</v>
      </c>
      <c r="E20" s="552">
        <v>100</v>
      </c>
      <c r="F20" s="559">
        <v>4950000</v>
      </c>
      <c r="G20" s="559">
        <v>4950000</v>
      </c>
      <c r="H20" s="559">
        <v>4950000</v>
      </c>
      <c r="I20" s="559"/>
      <c r="J20" s="559"/>
      <c r="K20" s="559"/>
      <c r="L20" s="559">
        <v>0</v>
      </c>
      <c r="M20" s="559"/>
    </row>
    <row r="21" spans="1:13" ht="20.100000000000001" customHeight="1" x14ac:dyDescent="0.2">
      <c r="A21" s="410" t="str">
        <f t="shared" si="0"/>
        <v>174232-3-142</v>
      </c>
      <c r="B21" s="547">
        <v>174232</v>
      </c>
      <c r="C21" s="548">
        <v>3</v>
      </c>
      <c r="D21" s="549" t="s">
        <v>8</v>
      </c>
      <c r="E21" s="548">
        <v>142</v>
      </c>
      <c r="F21" s="558">
        <v>28735381.850000001</v>
      </c>
      <c r="G21" s="558">
        <v>28181410.530000001</v>
      </c>
      <c r="H21" s="558">
        <v>15111027.52</v>
      </c>
      <c r="I21" s="558">
        <v>13070383.01</v>
      </c>
      <c r="J21" s="558">
        <v>1177092.1200000001</v>
      </c>
      <c r="K21" s="558">
        <v>11893290.890000001</v>
      </c>
      <c r="L21" s="558">
        <v>886893.27</v>
      </c>
      <c r="M21" s="558">
        <v>0</v>
      </c>
    </row>
    <row r="22" spans="1:13" ht="20.100000000000001" customHeight="1" x14ac:dyDescent="0.2">
      <c r="A22" s="410" t="str">
        <f t="shared" si="0"/>
        <v>174232-4-142</v>
      </c>
      <c r="B22" s="551">
        <v>174232</v>
      </c>
      <c r="C22" s="552">
        <v>4</v>
      </c>
      <c r="D22" s="553" t="s">
        <v>7</v>
      </c>
      <c r="E22" s="552">
        <v>142</v>
      </c>
      <c r="F22" s="559">
        <v>794426.41</v>
      </c>
      <c r="G22" s="559">
        <v>733873.89</v>
      </c>
      <c r="H22" s="559">
        <v>641336</v>
      </c>
      <c r="I22" s="559">
        <v>92537.89</v>
      </c>
      <c r="J22" s="559">
        <v>29198</v>
      </c>
      <c r="K22" s="559">
        <v>63339.89</v>
      </c>
      <c r="L22" s="559">
        <v>60552.52</v>
      </c>
      <c r="M22" s="559"/>
    </row>
    <row r="23" spans="1:13" ht="20.100000000000001" customHeight="1" x14ac:dyDescent="0.2">
      <c r="A23" s="410" t="str">
        <f t="shared" si="0"/>
        <v>174233-3-142</v>
      </c>
      <c r="B23" s="547">
        <v>174233</v>
      </c>
      <c r="C23" s="548">
        <v>3</v>
      </c>
      <c r="D23" s="549" t="s">
        <v>8</v>
      </c>
      <c r="E23" s="548">
        <v>142</v>
      </c>
      <c r="F23" s="558">
        <v>200000</v>
      </c>
      <c r="G23" s="558">
        <v>199846.75</v>
      </c>
      <c r="H23" s="558">
        <v>4895.01</v>
      </c>
      <c r="I23" s="558">
        <v>194951.74</v>
      </c>
      <c r="J23" s="558">
        <v>0.01</v>
      </c>
      <c r="K23" s="558">
        <v>194951.73</v>
      </c>
      <c r="L23" s="558">
        <v>153.25</v>
      </c>
      <c r="M23" s="558"/>
    </row>
    <row r="24" spans="1:13" ht="20.100000000000001" customHeight="1" x14ac:dyDescent="0.2">
      <c r="A24" s="410" t="str">
        <f t="shared" si="0"/>
        <v>174233-4-142</v>
      </c>
      <c r="B24" s="551">
        <v>174233</v>
      </c>
      <c r="C24" s="552">
        <v>4</v>
      </c>
      <c r="D24" s="553" t="s">
        <v>7</v>
      </c>
      <c r="E24" s="552">
        <v>142</v>
      </c>
      <c r="F24" s="559">
        <v>148310.16</v>
      </c>
      <c r="G24" s="559">
        <v>143641.16</v>
      </c>
      <c r="H24" s="559">
        <v>138444.16</v>
      </c>
      <c r="I24" s="559">
        <v>5197</v>
      </c>
      <c r="J24" s="559">
        <v>0</v>
      </c>
      <c r="K24" s="559">
        <v>5197</v>
      </c>
      <c r="L24" s="559">
        <v>4669</v>
      </c>
      <c r="M24" s="559"/>
    </row>
    <row r="25" spans="1:13" ht="20.100000000000001" customHeight="1" x14ac:dyDescent="0.2">
      <c r="A25" s="410" t="str">
        <f t="shared" si="0"/>
        <v>174234-3-142</v>
      </c>
      <c r="B25" s="547">
        <v>174234</v>
      </c>
      <c r="C25" s="548">
        <v>3</v>
      </c>
      <c r="D25" s="549" t="s">
        <v>8</v>
      </c>
      <c r="E25" s="548">
        <v>142</v>
      </c>
      <c r="F25" s="558">
        <v>1000000</v>
      </c>
      <c r="G25" s="558">
        <v>989723.31</v>
      </c>
      <c r="H25" s="558">
        <v>671564.5</v>
      </c>
      <c r="I25" s="558">
        <v>318158.81</v>
      </c>
      <c r="J25" s="558">
        <v>62414.42</v>
      </c>
      <c r="K25" s="558">
        <v>255744.39</v>
      </c>
      <c r="L25" s="558">
        <v>10276.69</v>
      </c>
      <c r="M25" s="558"/>
    </row>
    <row r="26" spans="1:13" ht="20.100000000000001" customHeight="1" x14ac:dyDescent="0.2">
      <c r="A26" s="410" t="str">
        <f t="shared" si="0"/>
        <v>174234-4-142</v>
      </c>
      <c r="B26" s="551">
        <v>174234</v>
      </c>
      <c r="C26" s="552">
        <v>4</v>
      </c>
      <c r="D26" s="553" t="s">
        <v>7</v>
      </c>
      <c r="E26" s="552">
        <v>142</v>
      </c>
      <c r="F26" s="559">
        <v>979968.62</v>
      </c>
      <c r="G26" s="559">
        <v>967929</v>
      </c>
      <c r="H26" s="559">
        <v>504950</v>
      </c>
      <c r="I26" s="559">
        <v>462979</v>
      </c>
      <c r="J26" s="559">
        <v>201022</v>
      </c>
      <c r="K26" s="559">
        <v>261957</v>
      </c>
      <c r="L26" s="559">
        <v>12039.62</v>
      </c>
      <c r="M26" s="559"/>
    </row>
    <row r="27" spans="1:13" ht="20.100000000000001" customHeight="1" x14ac:dyDescent="0.2">
      <c r="A27" s="410" t="str">
        <f t="shared" si="0"/>
        <v>174235-3-142</v>
      </c>
      <c r="B27" s="547">
        <v>174235</v>
      </c>
      <c r="C27" s="548">
        <v>3</v>
      </c>
      <c r="D27" s="549" t="s">
        <v>8</v>
      </c>
      <c r="E27" s="548">
        <v>142</v>
      </c>
      <c r="F27" s="558">
        <v>130963.13</v>
      </c>
      <c r="G27" s="558">
        <v>130734.66</v>
      </c>
      <c r="H27" s="558">
        <v>27058.27</v>
      </c>
      <c r="I27" s="558">
        <v>103676.39</v>
      </c>
      <c r="J27" s="558">
        <v>2849.19</v>
      </c>
      <c r="K27" s="558">
        <v>100827.2</v>
      </c>
      <c r="L27" s="558">
        <v>228.47</v>
      </c>
      <c r="M27" s="558"/>
    </row>
    <row r="28" spans="1:13" ht="20.100000000000001" customHeight="1" x14ac:dyDescent="0.2">
      <c r="A28" s="410" t="str">
        <f t="shared" si="0"/>
        <v>174236-3-142</v>
      </c>
      <c r="B28" s="551">
        <v>174236</v>
      </c>
      <c r="C28" s="552">
        <v>3</v>
      </c>
      <c r="D28" s="553" t="s">
        <v>8</v>
      </c>
      <c r="E28" s="552">
        <v>142</v>
      </c>
      <c r="F28" s="559">
        <v>131619.51999999999</v>
      </c>
      <c r="G28" s="559">
        <v>117223.71</v>
      </c>
      <c r="H28" s="559">
        <v>50304.33</v>
      </c>
      <c r="I28" s="559">
        <v>66919.38</v>
      </c>
      <c r="J28" s="559">
        <v>13755.51</v>
      </c>
      <c r="K28" s="559">
        <v>53163.87</v>
      </c>
      <c r="L28" s="559">
        <v>14395.81</v>
      </c>
      <c r="M28" s="559"/>
    </row>
    <row r="29" spans="1:13" ht="20.100000000000001" customHeight="1" x14ac:dyDescent="0.2">
      <c r="A29" s="410" t="str">
        <f t="shared" si="0"/>
        <v>174236-4-142</v>
      </c>
      <c r="B29" s="547">
        <v>174236</v>
      </c>
      <c r="C29" s="548">
        <v>4</v>
      </c>
      <c r="D29" s="549" t="s">
        <v>7</v>
      </c>
      <c r="E29" s="548">
        <v>142</v>
      </c>
      <c r="F29" s="558">
        <v>1386</v>
      </c>
      <c r="G29" s="558">
        <v>0</v>
      </c>
      <c r="H29" s="558">
        <v>0</v>
      </c>
      <c r="I29" s="558"/>
      <c r="J29" s="558"/>
      <c r="K29" s="558"/>
      <c r="L29" s="558">
        <v>1386</v>
      </c>
      <c r="M29" s="558"/>
    </row>
    <row r="30" spans="1:13" ht="20.100000000000001" customHeight="1" x14ac:dyDescent="0.2">
      <c r="A30" s="410" t="str">
        <f t="shared" si="0"/>
        <v>174237-3-142</v>
      </c>
      <c r="B30" s="551">
        <v>174237</v>
      </c>
      <c r="C30" s="552">
        <v>3</v>
      </c>
      <c r="D30" s="553" t="s">
        <v>8</v>
      </c>
      <c r="E30" s="552">
        <v>142</v>
      </c>
      <c r="F30" s="559">
        <v>783180.37</v>
      </c>
      <c r="G30" s="559">
        <v>774103.06</v>
      </c>
      <c r="H30" s="559">
        <v>120240.96000000001</v>
      </c>
      <c r="I30" s="559">
        <v>653862.1</v>
      </c>
      <c r="J30" s="559">
        <v>148611.85</v>
      </c>
      <c r="K30" s="559">
        <v>505250.25</v>
      </c>
      <c r="L30" s="559">
        <v>282777.31</v>
      </c>
      <c r="M30" s="559"/>
    </row>
    <row r="31" spans="1:13" ht="20.100000000000001" customHeight="1" x14ac:dyDescent="0.2">
      <c r="A31" s="410" t="str">
        <f t="shared" si="0"/>
        <v>174237-4-142</v>
      </c>
      <c r="B31" s="547">
        <v>174237</v>
      </c>
      <c r="C31" s="548">
        <v>4</v>
      </c>
      <c r="D31" s="549" t="s">
        <v>7</v>
      </c>
      <c r="E31" s="548">
        <v>142</v>
      </c>
      <c r="F31" s="558">
        <v>145000</v>
      </c>
      <c r="G31" s="558">
        <v>145000</v>
      </c>
      <c r="H31" s="558">
        <v>145000</v>
      </c>
      <c r="I31" s="558"/>
      <c r="J31" s="558"/>
      <c r="K31" s="558"/>
      <c r="L31" s="558">
        <v>0</v>
      </c>
      <c r="M31" s="558"/>
    </row>
    <row r="32" spans="1:13" ht="20.100000000000001" customHeight="1" x14ac:dyDescent="0.2">
      <c r="A32" s="410" t="str">
        <f t="shared" si="0"/>
        <v>174238-3-142</v>
      </c>
      <c r="B32" s="551">
        <v>174238</v>
      </c>
      <c r="C32" s="552">
        <v>3</v>
      </c>
      <c r="D32" s="553" t="s">
        <v>8</v>
      </c>
      <c r="E32" s="552">
        <v>142</v>
      </c>
      <c r="F32" s="559">
        <v>166279.73000000001</v>
      </c>
      <c r="G32" s="559">
        <v>149664.07</v>
      </c>
      <c r="H32" s="559">
        <v>38920.33</v>
      </c>
      <c r="I32" s="559">
        <v>110743.74</v>
      </c>
      <c r="J32" s="559">
        <v>2332.0300000000002</v>
      </c>
      <c r="K32" s="559">
        <v>108411.71</v>
      </c>
      <c r="L32" s="559">
        <v>16615.66</v>
      </c>
      <c r="M32" s="559"/>
    </row>
    <row r="33" spans="1:13" ht="20.100000000000001" customHeight="1" x14ac:dyDescent="0.2">
      <c r="A33" s="410" t="str">
        <f t="shared" si="0"/>
        <v>174239-3-142</v>
      </c>
      <c r="B33" s="547">
        <v>174239</v>
      </c>
      <c r="C33" s="548">
        <v>3</v>
      </c>
      <c r="D33" s="549" t="s">
        <v>8</v>
      </c>
      <c r="E33" s="548">
        <v>142</v>
      </c>
      <c r="F33" s="558">
        <v>5369331.2400000002</v>
      </c>
      <c r="G33" s="558">
        <v>5169431.62</v>
      </c>
      <c r="H33" s="558">
        <v>2972841.98</v>
      </c>
      <c r="I33" s="558">
        <v>2196589.64</v>
      </c>
      <c r="J33" s="558">
        <v>234274.83</v>
      </c>
      <c r="K33" s="558">
        <v>1962314.81</v>
      </c>
      <c r="L33" s="558">
        <v>199899.62</v>
      </c>
      <c r="M33" s="558"/>
    </row>
    <row r="34" spans="1:13" ht="20.100000000000001" customHeight="1" x14ac:dyDescent="0.2">
      <c r="A34" s="410" t="str">
        <f t="shared" si="0"/>
        <v>174239-4-142</v>
      </c>
      <c r="B34" s="551">
        <v>174239</v>
      </c>
      <c r="C34" s="552">
        <v>4</v>
      </c>
      <c r="D34" s="553" t="s">
        <v>7</v>
      </c>
      <c r="E34" s="552">
        <v>142</v>
      </c>
      <c r="F34" s="559">
        <v>921146.55</v>
      </c>
      <c r="G34" s="559">
        <v>825641.55</v>
      </c>
      <c r="H34" s="559">
        <v>825149.65</v>
      </c>
      <c r="I34" s="559">
        <v>491.9</v>
      </c>
      <c r="J34" s="559">
        <v>0</v>
      </c>
      <c r="K34" s="559">
        <v>491.9</v>
      </c>
      <c r="L34" s="559">
        <v>95505</v>
      </c>
      <c r="M34" s="559"/>
    </row>
    <row r="35" spans="1:13" ht="20.100000000000001" customHeight="1" x14ac:dyDescent="0.2">
      <c r="A35" s="410" t="str">
        <f t="shared" si="0"/>
        <v>174239-3-150</v>
      </c>
      <c r="B35" s="547">
        <v>174239</v>
      </c>
      <c r="C35" s="548">
        <v>3</v>
      </c>
      <c r="D35" s="549" t="s">
        <v>8</v>
      </c>
      <c r="E35" s="548">
        <v>150</v>
      </c>
      <c r="F35" s="558">
        <v>1730811.99</v>
      </c>
      <c r="G35" s="558">
        <v>1730251.99</v>
      </c>
      <c r="H35" s="558">
        <v>1211442.46</v>
      </c>
      <c r="I35" s="558">
        <v>518809.53</v>
      </c>
      <c r="J35" s="558">
        <v>31920.84</v>
      </c>
      <c r="K35" s="558">
        <v>486888.69</v>
      </c>
      <c r="L35" s="558">
        <v>560</v>
      </c>
      <c r="M35" s="558"/>
    </row>
    <row r="36" spans="1:13" ht="20.100000000000001" customHeight="1" x14ac:dyDescent="0.2">
      <c r="A36" s="410" t="str">
        <f t="shared" si="0"/>
        <v>174240-3-142</v>
      </c>
      <c r="B36" s="551">
        <v>174240</v>
      </c>
      <c r="C36" s="552">
        <v>3</v>
      </c>
      <c r="D36" s="553" t="s">
        <v>8</v>
      </c>
      <c r="E36" s="552">
        <v>142</v>
      </c>
      <c r="F36" s="559">
        <v>302272.7</v>
      </c>
      <c r="G36" s="559">
        <v>298344.83</v>
      </c>
      <c r="H36" s="559">
        <v>77008.52</v>
      </c>
      <c r="I36" s="559">
        <v>221336.31</v>
      </c>
      <c r="J36" s="559">
        <v>10159.959999999999</v>
      </c>
      <c r="K36" s="559">
        <v>211176.35</v>
      </c>
      <c r="L36" s="559">
        <v>3927.87</v>
      </c>
      <c r="M36" s="559"/>
    </row>
    <row r="37" spans="1:13" ht="20.100000000000001" customHeight="1" x14ac:dyDescent="0.2">
      <c r="A37" s="410" t="str">
        <f t="shared" si="0"/>
        <v>174240-4-142</v>
      </c>
      <c r="B37" s="547">
        <v>174240</v>
      </c>
      <c r="C37" s="548">
        <v>4</v>
      </c>
      <c r="D37" s="549" t="s">
        <v>7</v>
      </c>
      <c r="E37" s="548">
        <v>142</v>
      </c>
      <c r="F37" s="558">
        <v>890871</v>
      </c>
      <c r="G37" s="558">
        <v>890871</v>
      </c>
      <c r="H37" s="558">
        <v>872878</v>
      </c>
      <c r="I37" s="558">
        <v>17993</v>
      </c>
      <c r="J37" s="558">
        <v>17993</v>
      </c>
      <c r="K37" s="558"/>
      <c r="L37" s="558">
        <v>0</v>
      </c>
      <c r="M37" s="558"/>
    </row>
    <row r="38" spans="1:13" ht="20.100000000000001" customHeight="1" x14ac:dyDescent="0.2">
      <c r="A38" s="410" t="str">
        <f t="shared" si="0"/>
        <v>174241-3-142</v>
      </c>
      <c r="B38" s="551">
        <v>174241</v>
      </c>
      <c r="C38" s="552">
        <v>3</v>
      </c>
      <c r="D38" s="553" t="s">
        <v>8</v>
      </c>
      <c r="E38" s="552">
        <v>142</v>
      </c>
      <c r="F38" s="559">
        <v>2227371.35</v>
      </c>
      <c r="G38" s="559">
        <v>2052930.79</v>
      </c>
      <c r="H38" s="559">
        <v>833368.95</v>
      </c>
      <c r="I38" s="559">
        <v>1219561.8400000001</v>
      </c>
      <c r="J38" s="559">
        <v>133090.5</v>
      </c>
      <c r="K38" s="559">
        <v>1086471.3400000001</v>
      </c>
      <c r="L38" s="559">
        <v>174440.56</v>
      </c>
      <c r="M38" s="559"/>
    </row>
    <row r="39" spans="1:13" ht="20.100000000000001" customHeight="1" x14ac:dyDescent="0.2">
      <c r="A39" s="410" t="str">
        <f t="shared" si="0"/>
        <v>174241-4-142</v>
      </c>
      <c r="B39" s="547">
        <v>174241</v>
      </c>
      <c r="C39" s="548">
        <v>4</v>
      </c>
      <c r="D39" s="549" t="s">
        <v>7</v>
      </c>
      <c r="E39" s="548">
        <v>142</v>
      </c>
      <c r="F39" s="558">
        <v>955343.44</v>
      </c>
      <c r="G39" s="558">
        <v>955343.44</v>
      </c>
      <c r="H39" s="558">
        <v>698877.43999999994</v>
      </c>
      <c r="I39" s="558">
        <v>256466</v>
      </c>
      <c r="J39" s="558">
        <v>35986</v>
      </c>
      <c r="K39" s="558">
        <v>220480</v>
      </c>
      <c r="L39" s="558">
        <v>0</v>
      </c>
      <c r="M39" s="558"/>
    </row>
    <row r="40" spans="1:13" ht="20.100000000000001" customHeight="1" x14ac:dyDescent="0.2">
      <c r="A40" s="410" t="str">
        <f t="shared" si="0"/>
        <v>174242-3-142</v>
      </c>
      <c r="B40" s="551">
        <v>174242</v>
      </c>
      <c r="C40" s="552">
        <v>3</v>
      </c>
      <c r="D40" s="553" t="s">
        <v>8</v>
      </c>
      <c r="E40" s="552">
        <v>142</v>
      </c>
      <c r="F40" s="559">
        <v>3336741.87</v>
      </c>
      <c r="G40" s="559">
        <v>3286059.45</v>
      </c>
      <c r="H40" s="559">
        <v>2433570.14</v>
      </c>
      <c r="I40" s="559">
        <v>852489.31</v>
      </c>
      <c r="J40" s="559">
        <v>40087.83</v>
      </c>
      <c r="K40" s="559">
        <v>812401.48</v>
      </c>
      <c r="L40" s="559">
        <v>50682.42</v>
      </c>
      <c r="M40" s="559"/>
    </row>
    <row r="41" spans="1:13" ht="20.100000000000001" customHeight="1" x14ac:dyDescent="0.2">
      <c r="A41" s="410" t="str">
        <f t="shared" si="0"/>
        <v>174242-4-142</v>
      </c>
      <c r="B41" s="547">
        <v>174242</v>
      </c>
      <c r="C41" s="548">
        <v>4</v>
      </c>
      <c r="D41" s="549" t="s">
        <v>7</v>
      </c>
      <c r="E41" s="548">
        <v>142</v>
      </c>
      <c r="F41" s="558">
        <v>1677688.25</v>
      </c>
      <c r="G41" s="558">
        <v>1560664.25</v>
      </c>
      <c r="H41" s="558">
        <v>1361886</v>
      </c>
      <c r="I41" s="558">
        <v>198778.25</v>
      </c>
      <c r="J41" s="558">
        <v>855.25</v>
      </c>
      <c r="K41" s="558">
        <v>197923</v>
      </c>
      <c r="L41" s="558">
        <v>117024</v>
      </c>
      <c r="M41" s="558"/>
    </row>
    <row r="42" spans="1:13" ht="20.100000000000001" customHeight="1" x14ac:dyDescent="0.2">
      <c r="A42" s="410" t="str">
        <f t="shared" si="0"/>
        <v>174243-3-142</v>
      </c>
      <c r="B42" s="551">
        <v>174243</v>
      </c>
      <c r="C42" s="552">
        <v>3</v>
      </c>
      <c r="D42" s="553" t="s">
        <v>8</v>
      </c>
      <c r="E42" s="552">
        <v>142</v>
      </c>
      <c r="F42" s="559">
        <v>137848.38</v>
      </c>
      <c r="G42" s="559">
        <v>136898.85999999999</v>
      </c>
      <c r="H42" s="559">
        <v>4681.3100000000004</v>
      </c>
      <c r="I42" s="559">
        <v>132217.54999999999</v>
      </c>
      <c r="J42" s="559">
        <v>9925.24</v>
      </c>
      <c r="K42" s="559">
        <v>122292.31</v>
      </c>
      <c r="L42" s="559">
        <v>949.52</v>
      </c>
      <c r="M42" s="559"/>
    </row>
    <row r="43" spans="1:13" ht="20.100000000000001" customHeight="1" x14ac:dyDescent="0.2">
      <c r="A43" s="410" t="str">
        <f t="shared" si="0"/>
        <v>174244-3-142</v>
      </c>
      <c r="B43" s="547">
        <v>174244</v>
      </c>
      <c r="C43" s="548">
        <v>3</v>
      </c>
      <c r="D43" s="549" t="s">
        <v>8</v>
      </c>
      <c r="E43" s="548">
        <v>142</v>
      </c>
      <c r="F43" s="558">
        <v>195011.48</v>
      </c>
      <c r="G43" s="558">
        <v>195011.48</v>
      </c>
      <c r="H43" s="558">
        <v>195011.48</v>
      </c>
      <c r="I43" s="558"/>
      <c r="J43" s="558"/>
      <c r="K43" s="558"/>
      <c r="L43" s="558">
        <v>0</v>
      </c>
      <c r="M43" s="558"/>
    </row>
    <row r="44" spans="1:13" ht="20.100000000000001" customHeight="1" x14ac:dyDescent="0.2">
      <c r="A44" s="410" t="str">
        <f t="shared" si="0"/>
        <v>174245-3-142</v>
      </c>
      <c r="B44" s="551">
        <v>174245</v>
      </c>
      <c r="C44" s="552">
        <v>3</v>
      </c>
      <c r="D44" s="553" t="s">
        <v>8</v>
      </c>
      <c r="E44" s="552">
        <v>142</v>
      </c>
      <c r="F44" s="559">
        <v>3289576.9</v>
      </c>
      <c r="G44" s="559">
        <v>3277890.14</v>
      </c>
      <c r="H44" s="559">
        <v>2432526.7000000002</v>
      </c>
      <c r="I44" s="559">
        <v>845363.44</v>
      </c>
      <c r="J44" s="559">
        <v>27244.14</v>
      </c>
      <c r="K44" s="559">
        <v>818119.3</v>
      </c>
      <c r="L44" s="559">
        <v>11686.76</v>
      </c>
      <c r="M44" s="559"/>
    </row>
    <row r="45" spans="1:13" ht="20.100000000000001" customHeight="1" x14ac:dyDescent="0.2">
      <c r="A45" s="410" t="str">
        <f t="shared" si="0"/>
        <v>174245-4-142</v>
      </c>
      <c r="B45" s="547">
        <v>174245</v>
      </c>
      <c r="C45" s="548">
        <v>4</v>
      </c>
      <c r="D45" s="549" t="s">
        <v>7</v>
      </c>
      <c r="E45" s="548">
        <v>142</v>
      </c>
      <c r="F45" s="558">
        <v>2412491.66</v>
      </c>
      <c r="G45" s="558">
        <v>2390611</v>
      </c>
      <c r="H45" s="558">
        <v>2043560</v>
      </c>
      <c r="I45" s="558">
        <v>347051</v>
      </c>
      <c r="J45" s="558">
        <v>0</v>
      </c>
      <c r="K45" s="558">
        <v>347051</v>
      </c>
      <c r="L45" s="558">
        <v>21880.66</v>
      </c>
      <c r="M45" s="558"/>
    </row>
    <row r="46" spans="1:13" ht="20.100000000000001" customHeight="1" x14ac:dyDescent="0.2">
      <c r="A46" s="410" t="str">
        <f t="shared" si="0"/>
        <v>174246-3-142</v>
      </c>
      <c r="B46" s="551">
        <v>174246</v>
      </c>
      <c r="C46" s="552">
        <v>3</v>
      </c>
      <c r="D46" s="553" t="s">
        <v>8</v>
      </c>
      <c r="E46" s="552">
        <v>142</v>
      </c>
      <c r="F46" s="559">
        <v>243661.07</v>
      </c>
      <c r="G46" s="559">
        <v>242443.31</v>
      </c>
      <c r="H46" s="559">
        <v>230000</v>
      </c>
      <c r="I46" s="559">
        <v>12443.31</v>
      </c>
      <c r="J46" s="559">
        <v>4427.58</v>
      </c>
      <c r="K46" s="559">
        <v>8015.73</v>
      </c>
      <c r="L46" s="559">
        <v>1217.76</v>
      </c>
      <c r="M46" s="559"/>
    </row>
    <row r="47" spans="1:13" ht="20.100000000000001" customHeight="1" x14ac:dyDescent="0.2">
      <c r="A47" s="410" t="str">
        <f t="shared" si="0"/>
        <v>174247-3-142</v>
      </c>
      <c r="B47" s="547">
        <v>174247</v>
      </c>
      <c r="C47" s="548">
        <v>3</v>
      </c>
      <c r="D47" s="549" t="s">
        <v>8</v>
      </c>
      <c r="E47" s="548">
        <v>142</v>
      </c>
      <c r="F47" s="558">
        <v>167248.73000000001</v>
      </c>
      <c r="G47" s="558">
        <v>163608.51999999999</v>
      </c>
      <c r="H47" s="558">
        <v>22807.84</v>
      </c>
      <c r="I47" s="558">
        <v>140800.68</v>
      </c>
      <c r="J47" s="558">
        <v>12012.4</v>
      </c>
      <c r="K47" s="558">
        <v>128788.28</v>
      </c>
      <c r="L47" s="558">
        <v>3640.21</v>
      </c>
      <c r="M47" s="558"/>
    </row>
    <row r="48" spans="1:13" ht="20.100000000000001" customHeight="1" x14ac:dyDescent="0.2">
      <c r="A48" s="410" t="str">
        <f t="shared" si="0"/>
        <v>174249-3-142</v>
      </c>
      <c r="B48" s="551">
        <v>174249</v>
      </c>
      <c r="C48" s="552">
        <v>3</v>
      </c>
      <c r="D48" s="553" t="s">
        <v>8</v>
      </c>
      <c r="E48" s="552">
        <v>142</v>
      </c>
      <c r="F48" s="559">
        <v>316834.56</v>
      </c>
      <c r="G48" s="559">
        <v>301468.03999999998</v>
      </c>
      <c r="H48" s="559">
        <v>88716.05</v>
      </c>
      <c r="I48" s="559">
        <v>212751.99</v>
      </c>
      <c r="J48" s="559">
        <v>6563.67</v>
      </c>
      <c r="K48" s="559">
        <v>206188.32</v>
      </c>
      <c r="L48" s="559">
        <v>15366.52</v>
      </c>
      <c r="M48" s="559"/>
    </row>
    <row r="49" spans="1:13" ht="20.100000000000001" customHeight="1" x14ac:dyDescent="0.2">
      <c r="A49" s="410" t="str">
        <f t="shared" si="0"/>
        <v>174249-4-142</v>
      </c>
      <c r="B49" s="547">
        <v>174249</v>
      </c>
      <c r="C49" s="548">
        <v>4</v>
      </c>
      <c r="D49" s="549" t="s">
        <v>7</v>
      </c>
      <c r="E49" s="548">
        <v>142</v>
      </c>
      <c r="F49" s="558">
        <v>299720</v>
      </c>
      <c r="G49" s="558">
        <v>299720</v>
      </c>
      <c r="H49" s="558">
        <v>299720</v>
      </c>
      <c r="I49" s="558"/>
      <c r="J49" s="558"/>
      <c r="K49" s="558"/>
      <c r="L49" s="558">
        <v>0</v>
      </c>
      <c r="M49" s="558"/>
    </row>
    <row r="50" spans="1:13" ht="20.100000000000001" customHeight="1" x14ac:dyDescent="0.2">
      <c r="A50" s="410" t="str">
        <f t="shared" si="0"/>
        <v>174250-3-142</v>
      </c>
      <c r="B50" s="551">
        <v>174250</v>
      </c>
      <c r="C50" s="552">
        <v>3</v>
      </c>
      <c r="D50" s="553" t="s">
        <v>8</v>
      </c>
      <c r="E50" s="552">
        <v>142</v>
      </c>
      <c r="F50" s="559">
        <v>1579000</v>
      </c>
      <c r="G50" s="559">
        <v>1578999.7</v>
      </c>
      <c r="H50" s="559">
        <v>890885.52</v>
      </c>
      <c r="I50" s="559">
        <v>688114.18</v>
      </c>
      <c r="J50" s="559">
        <v>22038.97</v>
      </c>
      <c r="K50" s="559">
        <v>666075.21</v>
      </c>
      <c r="L50" s="559">
        <v>0.3</v>
      </c>
      <c r="M50" s="559"/>
    </row>
    <row r="51" spans="1:13" ht="20.100000000000001" customHeight="1" x14ac:dyDescent="0.2">
      <c r="A51" s="410" t="str">
        <f t="shared" si="0"/>
        <v>174250-4-142</v>
      </c>
      <c r="B51" s="547">
        <v>174250</v>
      </c>
      <c r="C51" s="548">
        <v>4</v>
      </c>
      <c r="D51" s="549" t="s">
        <v>7</v>
      </c>
      <c r="E51" s="548">
        <v>142</v>
      </c>
      <c r="F51" s="558">
        <v>212716</v>
      </c>
      <c r="G51" s="558">
        <v>212716</v>
      </c>
      <c r="H51" s="558">
        <v>212716</v>
      </c>
      <c r="I51" s="558"/>
      <c r="J51" s="558"/>
      <c r="K51" s="558"/>
      <c r="L51" s="558">
        <v>0</v>
      </c>
      <c r="M51" s="558"/>
    </row>
    <row r="52" spans="1:13" ht="20.100000000000001" customHeight="1" x14ac:dyDescent="0.2">
      <c r="A52" s="410" t="str">
        <f t="shared" si="0"/>
        <v>174252-3-142</v>
      </c>
      <c r="B52" s="551">
        <v>174252</v>
      </c>
      <c r="C52" s="552">
        <v>3</v>
      </c>
      <c r="D52" s="553" t="s">
        <v>8</v>
      </c>
      <c r="E52" s="552">
        <v>142</v>
      </c>
      <c r="F52" s="559">
        <v>2144899.59</v>
      </c>
      <c r="G52" s="559">
        <v>1969160.67</v>
      </c>
      <c r="H52" s="559">
        <v>945455.98</v>
      </c>
      <c r="I52" s="559">
        <v>1023704.69</v>
      </c>
      <c r="J52" s="559">
        <v>55328.05</v>
      </c>
      <c r="K52" s="559">
        <v>968376.64</v>
      </c>
      <c r="L52" s="559">
        <v>175738.92</v>
      </c>
      <c r="M52" s="559"/>
    </row>
    <row r="53" spans="1:13" ht="20.100000000000001" customHeight="1" x14ac:dyDescent="0.2">
      <c r="A53" s="410" t="str">
        <f t="shared" si="0"/>
        <v>174253-3-142</v>
      </c>
      <c r="B53" s="547">
        <v>174253</v>
      </c>
      <c r="C53" s="548">
        <v>3</v>
      </c>
      <c r="D53" s="549" t="s">
        <v>8</v>
      </c>
      <c r="E53" s="548">
        <v>142</v>
      </c>
      <c r="F53" s="558">
        <v>235816.15</v>
      </c>
      <c r="G53" s="558">
        <v>192762.83</v>
      </c>
      <c r="H53" s="558">
        <v>95904.98</v>
      </c>
      <c r="I53" s="558">
        <v>96857.85</v>
      </c>
      <c r="J53" s="558">
        <v>13148.64</v>
      </c>
      <c r="K53" s="558">
        <v>83709.210000000006</v>
      </c>
      <c r="L53" s="558">
        <v>43053.32</v>
      </c>
      <c r="M53" s="558"/>
    </row>
    <row r="54" spans="1:13" ht="20.100000000000001" customHeight="1" x14ac:dyDescent="0.2">
      <c r="A54" s="410" t="str">
        <f t="shared" si="0"/>
        <v>174254-3-142</v>
      </c>
      <c r="B54" s="551">
        <v>174254</v>
      </c>
      <c r="C54" s="552">
        <v>3</v>
      </c>
      <c r="D54" s="553" t="s">
        <v>8</v>
      </c>
      <c r="E54" s="552">
        <v>142</v>
      </c>
      <c r="F54" s="559">
        <v>692067.01</v>
      </c>
      <c r="G54" s="559">
        <v>624036.31999999995</v>
      </c>
      <c r="H54" s="559">
        <v>166093.25</v>
      </c>
      <c r="I54" s="559">
        <v>457943.07</v>
      </c>
      <c r="J54" s="559">
        <v>26562.98</v>
      </c>
      <c r="K54" s="559">
        <v>431380.09</v>
      </c>
      <c r="L54" s="559">
        <v>68030.69</v>
      </c>
      <c r="M54" s="559"/>
    </row>
    <row r="55" spans="1:13" ht="20.100000000000001" customHeight="1" x14ac:dyDescent="0.2">
      <c r="A55" s="410" t="str">
        <f t="shared" si="0"/>
        <v>174255-3-142</v>
      </c>
      <c r="B55" s="547">
        <v>174255</v>
      </c>
      <c r="C55" s="548">
        <v>3</v>
      </c>
      <c r="D55" s="549" t="s">
        <v>8</v>
      </c>
      <c r="E55" s="548">
        <v>142</v>
      </c>
      <c r="F55" s="558">
        <v>421000</v>
      </c>
      <c r="G55" s="558">
        <v>421000</v>
      </c>
      <c r="H55" s="558">
        <v>421000</v>
      </c>
      <c r="I55" s="558"/>
      <c r="J55" s="558"/>
      <c r="K55" s="558"/>
      <c r="L55" s="558">
        <v>0</v>
      </c>
      <c r="M55" s="558"/>
    </row>
    <row r="56" spans="1:13" ht="20.100000000000001" customHeight="1" x14ac:dyDescent="0.2">
      <c r="A56" s="410" t="str">
        <f t="shared" si="0"/>
        <v>174256-3-142</v>
      </c>
      <c r="B56" s="551">
        <v>174256</v>
      </c>
      <c r="C56" s="552">
        <v>3</v>
      </c>
      <c r="D56" s="553" t="s">
        <v>8</v>
      </c>
      <c r="E56" s="552">
        <v>142</v>
      </c>
      <c r="F56" s="559">
        <v>298046.99</v>
      </c>
      <c r="G56" s="559">
        <v>298046.99</v>
      </c>
      <c r="H56" s="559">
        <v>272559.83</v>
      </c>
      <c r="I56" s="559">
        <v>25487.16</v>
      </c>
      <c r="J56" s="559">
        <v>0</v>
      </c>
      <c r="K56" s="559">
        <v>25487.16</v>
      </c>
      <c r="L56" s="559">
        <v>0</v>
      </c>
      <c r="M56" s="559"/>
    </row>
    <row r="57" spans="1:13" ht="20.100000000000001" customHeight="1" x14ac:dyDescent="0.2">
      <c r="A57" s="410" t="str">
        <f t="shared" si="0"/>
        <v>174257-3-142</v>
      </c>
      <c r="B57" s="547">
        <v>174257</v>
      </c>
      <c r="C57" s="548">
        <v>3</v>
      </c>
      <c r="D57" s="549" t="s">
        <v>8</v>
      </c>
      <c r="E57" s="548">
        <v>142</v>
      </c>
      <c r="F57" s="558">
        <v>3901175</v>
      </c>
      <c r="G57" s="558">
        <v>3774947.77</v>
      </c>
      <c r="H57" s="558">
        <v>3026365.87</v>
      </c>
      <c r="I57" s="558">
        <v>748581.9</v>
      </c>
      <c r="J57" s="558">
        <v>59297.279999999999</v>
      </c>
      <c r="K57" s="558">
        <v>689284.62</v>
      </c>
      <c r="L57" s="558">
        <v>126227.23</v>
      </c>
      <c r="M57" s="558"/>
    </row>
    <row r="58" spans="1:13" ht="20.100000000000001" customHeight="1" x14ac:dyDescent="0.2">
      <c r="A58" s="410" t="str">
        <f t="shared" si="0"/>
        <v>174257-4-142</v>
      </c>
      <c r="B58" s="551">
        <v>174257</v>
      </c>
      <c r="C58" s="552">
        <v>4</v>
      </c>
      <c r="D58" s="553" t="s">
        <v>7</v>
      </c>
      <c r="E58" s="552">
        <v>142</v>
      </c>
      <c r="F58" s="559">
        <v>190000</v>
      </c>
      <c r="G58" s="559">
        <v>190000</v>
      </c>
      <c r="H58" s="559">
        <v>190000</v>
      </c>
      <c r="I58" s="559"/>
      <c r="J58" s="559"/>
      <c r="K58" s="559"/>
      <c r="L58" s="559">
        <v>0</v>
      </c>
      <c r="M58" s="559"/>
    </row>
    <row r="59" spans="1:13" ht="20.100000000000001" customHeight="1" x14ac:dyDescent="0.2">
      <c r="A59" s="410" t="str">
        <f t="shared" si="0"/>
        <v>174258-3-142</v>
      </c>
      <c r="B59" s="547">
        <v>174258</v>
      </c>
      <c r="C59" s="548">
        <v>3</v>
      </c>
      <c r="D59" s="549" t="s">
        <v>8</v>
      </c>
      <c r="E59" s="548">
        <v>142</v>
      </c>
      <c r="F59" s="558">
        <v>1493393.31</v>
      </c>
      <c r="G59" s="558">
        <v>1391080.02</v>
      </c>
      <c r="H59" s="558">
        <v>772836.88</v>
      </c>
      <c r="I59" s="558">
        <v>618243.14</v>
      </c>
      <c r="J59" s="558">
        <v>27601.55</v>
      </c>
      <c r="K59" s="558">
        <v>590641.59</v>
      </c>
      <c r="L59" s="558">
        <v>102313.29</v>
      </c>
      <c r="M59" s="558"/>
    </row>
    <row r="60" spans="1:13" ht="20.100000000000001" customHeight="1" x14ac:dyDescent="0.2">
      <c r="A60" s="410" t="str">
        <f t="shared" si="0"/>
        <v>174258-4-142</v>
      </c>
      <c r="B60" s="551">
        <v>174258</v>
      </c>
      <c r="C60" s="552">
        <v>4</v>
      </c>
      <c r="D60" s="553" t="s">
        <v>7</v>
      </c>
      <c r="E60" s="552">
        <v>142</v>
      </c>
      <c r="F60" s="559">
        <v>674804</v>
      </c>
      <c r="G60" s="559">
        <v>668895.89</v>
      </c>
      <c r="H60" s="559">
        <v>668895.89</v>
      </c>
      <c r="I60" s="559"/>
      <c r="J60" s="559"/>
      <c r="K60" s="559"/>
      <c r="L60" s="559">
        <v>5908.11</v>
      </c>
      <c r="M60" s="559"/>
    </row>
    <row r="61" spans="1:13" ht="20.100000000000001" customHeight="1" x14ac:dyDescent="0.2">
      <c r="A61" s="410" t="str">
        <f t="shared" si="0"/>
        <v>174259-3-142</v>
      </c>
      <c r="B61" s="547">
        <v>174259</v>
      </c>
      <c r="C61" s="548">
        <v>3</v>
      </c>
      <c r="D61" s="549" t="s">
        <v>8</v>
      </c>
      <c r="E61" s="548">
        <v>142</v>
      </c>
      <c r="F61" s="558">
        <v>146789.89000000001</v>
      </c>
      <c r="G61" s="558">
        <v>136651.97</v>
      </c>
      <c r="H61" s="558">
        <v>47942.03</v>
      </c>
      <c r="I61" s="558">
        <v>88709.94</v>
      </c>
      <c r="J61" s="558">
        <v>24566.34</v>
      </c>
      <c r="K61" s="558">
        <v>64143.6</v>
      </c>
      <c r="L61" s="558">
        <v>10137.92</v>
      </c>
      <c r="M61" s="558"/>
    </row>
    <row r="62" spans="1:13" ht="20.100000000000001" customHeight="1" x14ac:dyDescent="0.2">
      <c r="A62" s="410" t="str">
        <f t="shared" si="0"/>
        <v>174260-3-142</v>
      </c>
      <c r="B62" s="551">
        <v>174260</v>
      </c>
      <c r="C62" s="552">
        <v>3</v>
      </c>
      <c r="D62" s="553" t="s">
        <v>8</v>
      </c>
      <c r="E62" s="552">
        <v>142</v>
      </c>
      <c r="F62" s="559">
        <v>1577999.76</v>
      </c>
      <c r="G62" s="559">
        <v>1227197.73</v>
      </c>
      <c r="H62" s="559">
        <v>625613.87</v>
      </c>
      <c r="I62" s="559">
        <v>601583.86</v>
      </c>
      <c r="J62" s="559">
        <v>101408.74</v>
      </c>
      <c r="K62" s="559">
        <v>500175.12</v>
      </c>
      <c r="L62" s="559">
        <v>350802.03</v>
      </c>
      <c r="M62" s="559"/>
    </row>
    <row r="63" spans="1:13" ht="20.100000000000001" customHeight="1" x14ac:dyDescent="0.2">
      <c r="A63" s="410" t="str">
        <f t="shared" si="0"/>
        <v>174261-3-142</v>
      </c>
      <c r="B63" s="547">
        <v>174261</v>
      </c>
      <c r="C63" s="548">
        <v>3</v>
      </c>
      <c r="D63" s="549" t="s">
        <v>8</v>
      </c>
      <c r="E63" s="548">
        <v>142</v>
      </c>
      <c r="F63" s="558">
        <v>14899999.689999999</v>
      </c>
      <c r="G63" s="558">
        <v>14899999.689999999</v>
      </c>
      <c r="H63" s="558">
        <v>14439840.43</v>
      </c>
      <c r="I63" s="558">
        <v>460159.26</v>
      </c>
      <c r="J63" s="558">
        <v>9566.1299999999992</v>
      </c>
      <c r="K63" s="558">
        <v>450593.13</v>
      </c>
      <c r="L63" s="558">
        <v>0</v>
      </c>
      <c r="M63" s="558"/>
    </row>
    <row r="64" spans="1:13" ht="20.100000000000001" customHeight="1" x14ac:dyDescent="0.2">
      <c r="A64" s="410" t="str">
        <f t="shared" si="0"/>
        <v>174262-3-142</v>
      </c>
      <c r="B64" s="551">
        <v>174262</v>
      </c>
      <c r="C64" s="552">
        <v>3</v>
      </c>
      <c r="D64" s="553" t="s">
        <v>8</v>
      </c>
      <c r="E64" s="552">
        <v>142</v>
      </c>
      <c r="F64" s="559">
        <v>1976387.52</v>
      </c>
      <c r="G64" s="559">
        <v>1963462.38</v>
      </c>
      <c r="H64" s="559">
        <v>1292355.6299999999</v>
      </c>
      <c r="I64" s="559">
        <v>671106.75</v>
      </c>
      <c r="J64" s="559">
        <v>239535.12</v>
      </c>
      <c r="K64" s="559">
        <v>431571.63</v>
      </c>
      <c r="L64" s="559">
        <v>12925.14</v>
      </c>
      <c r="M64" s="559"/>
    </row>
    <row r="65" spans="1:13" ht="20.100000000000001" customHeight="1" x14ac:dyDescent="0.2">
      <c r="A65" s="410" t="str">
        <f t="shared" si="0"/>
        <v>174262-4-142</v>
      </c>
      <c r="B65" s="547">
        <v>174262</v>
      </c>
      <c r="C65" s="548">
        <v>4</v>
      </c>
      <c r="D65" s="549" t="s">
        <v>7</v>
      </c>
      <c r="E65" s="548">
        <v>142</v>
      </c>
      <c r="F65" s="558">
        <v>489288.8</v>
      </c>
      <c r="G65" s="558">
        <v>489288.8</v>
      </c>
      <c r="H65" s="558">
        <v>489288.8</v>
      </c>
      <c r="I65" s="558"/>
      <c r="J65" s="558"/>
      <c r="K65" s="558"/>
      <c r="L65" s="558">
        <v>0</v>
      </c>
      <c r="M65" s="558"/>
    </row>
    <row r="66" spans="1:13" ht="20.100000000000001" customHeight="1" x14ac:dyDescent="0.2">
      <c r="A66" s="410" t="str">
        <f t="shared" si="0"/>
        <v>174263-3-142</v>
      </c>
      <c r="B66" s="551">
        <v>174263</v>
      </c>
      <c r="C66" s="552">
        <v>3</v>
      </c>
      <c r="D66" s="553" t="s">
        <v>8</v>
      </c>
      <c r="E66" s="552">
        <v>142</v>
      </c>
      <c r="F66" s="559">
        <v>610315.75</v>
      </c>
      <c r="G66" s="559">
        <v>565254.99</v>
      </c>
      <c r="H66" s="559">
        <v>432082.35</v>
      </c>
      <c r="I66" s="559">
        <v>133172.64000000001</v>
      </c>
      <c r="J66" s="559">
        <v>11377.37</v>
      </c>
      <c r="K66" s="559">
        <v>121795.27</v>
      </c>
      <c r="L66" s="559">
        <v>45060.76</v>
      </c>
      <c r="M66" s="559"/>
    </row>
    <row r="67" spans="1:13" ht="20.100000000000001" customHeight="1" x14ac:dyDescent="0.2">
      <c r="A67" s="410" t="str">
        <f t="shared" si="0"/>
        <v>174263-4-142</v>
      </c>
      <c r="B67" s="547">
        <v>174263</v>
      </c>
      <c r="C67" s="548">
        <v>4</v>
      </c>
      <c r="D67" s="549" t="s">
        <v>7</v>
      </c>
      <c r="E67" s="548">
        <v>142</v>
      </c>
      <c r="F67" s="558">
        <v>426406</v>
      </c>
      <c r="G67" s="558">
        <v>400000</v>
      </c>
      <c r="H67" s="558">
        <v>400000</v>
      </c>
      <c r="I67" s="558"/>
      <c r="J67" s="558"/>
      <c r="K67" s="558"/>
      <c r="L67" s="558">
        <v>26406</v>
      </c>
      <c r="M67" s="558"/>
    </row>
    <row r="68" spans="1:13" ht="20.100000000000001" customHeight="1" x14ac:dyDescent="0.2">
      <c r="A68" s="410" t="str">
        <f t="shared" si="0"/>
        <v>174264-3-142</v>
      </c>
      <c r="B68" s="551">
        <v>174264</v>
      </c>
      <c r="C68" s="552">
        <v>3</v>
      </c>
      <c r="D68" s="553" t="s">
        <v>8</v>
      </c>
      <c r="E68" s="552">
        <v>142</v>
      </c>
      <c r="F68" s="559">
        <v>3300000</v>
      </c>
      <c r="G68" s="559">
        <v>2613827.81</v>
      </c>
      <c r="H68" s="559">
        <v>1787448.84</v>
      </c>
      <c r="I68" s="559">
        <v>826378.97</v>
      </c>
      <c r="J68" s="559">
        <v>30815.95</v>
      </c>
      <c r="K68" s="559">
        <v>795563.02</v>
      </c>
      <c r="L68" s="559">
        <v>686172.19</v>
      </c>
      <c r="M68" s="559"/>
    </row>
    <row r="69" spans="1:13" ht="20.100000000000001" customHeight="1" x14ac:dyDescent="0.2">
      <c r="A69" s="410" t="str">
        <f t="shared" si="0"/>
        <v>174264-4-142</v>
      </c>
      <c r="B69" s="547">
        <v>174264</v>
      </c>
      <c r="C69" s="548">
        <v>4</v>
      </c>
      <c r="D69" s="549" t="s">
        <v>7</v>
      </c>
      <c r="E69" s="548">
        <v>142</v>
      </c>
      <c r="F69" s="558">
        <v>747782.25</v>
      </c>
      <c r="G69" s="558">
        <v>747782.25</v>
      </c>
      <c r="H69" s="558">
        <v>707126.25</v>
      </c>
      <c r="I69" s="558">
        <v>40656</v>
      </c>
      <c r="J69" s="558">
        <v>3099</v>
      </c>
      <c r="K69" s="558">
        <v>37557</v>
      </c>
      <c r="L69" s="558">
        <v>0</v>
      </c>
      <c r="M69" s="558"/>
    </row>
    <row r="70" spans="1:13" ht="20.100000000000001" customHeight="1" x14ac:dyDescent="0.2">
      <c r="A70" s="410" t="str">
        <f t="shared" si="0"/>
        <v>174265-3-142</v>
      </c>
      <c r="B70" s="551">
        <v>174265</v>
      </c>
      <c r="C70" s="552">
        <v>3</v>
      </c>
      <c r="D70" s="553" t="s">
        <v>8</v>
      </c>
      <c r="E70" s="552">
        <v>142</v>
      </c>
      <c r="F70" s="559">
        <v>349383.17</v>
      </c>
      <c r="G70" s="559">
        <v>275958.11</v>
      </c>
      <c r="H70" s="559">
        <v>61224.12</v>
      </c>
      <c r="I70" s="559">
        <v>214733.99</v>
      </c>
      <c r="J70" s="559">
        <v>22593.46</v>
      </c>
      <c r="K70" s="559">
        <v>192140.53</v>
      </c>
      <c r="L70" s="559">
        <v>73425.06</v>
      </c>
      <c r="M70" s="559"/>
    </row>
    <row r="71" spans="1:13" ht="20.100000000000001" customHeight="1" x14ac:dyDescent="0.2">
      <c r="A71" s="410" t="str">
        <f t="shared" ref="A71:A85" si="1">CONCATENATE(B71,"-",C71,"-",E71)</f>
        <v>174267-3-142</v>
      </c>
      <c r="B71" s="547">
        <v>174267</v>
      </c>
      <c r="C71" s="548">
        <v>3</v>
      </c>
      <c r="D71" s="549" t="s">
        <v>8</v>
      </c>
      <c r="E71" s="548">
        <v>142</v>
      </c>
      <c r="F71" s="558">
        <v>1362450.34</v>
      </c>
      <c r="G71" s="558">
        <v>1253881.1100000001</v>
      </c>
      <c r="H71" s="558">
        <v>253742.9</v>
      </c>
      <c r="I71" s="558">
        <v>1000138.21</v>
      </c>
      <c r="J71" s="558">
        <v>71375.960000000006</v>
      </c>
      <c r="K71" s="558">
        <v>928762.25</v>
      </c>
      <c r="L71" s="558">
        <v>108569.23</v>
      </c>
      <c r="M71" s="558"/>
    </row>
    <row r="72" spans="1:13" ht="20.100000000000001" customHeight="1" x14ac:dyDescent="0.2">
      <c r="A72" s="410" t="str">
        <f t="shared" si="1"/>
        <v>174267-4-142</v>
      </c>
      <c r="B72" s="551">
        <v>174267</v>
      </c>
      <c r="C72" s="552">
        <v>4</v>
      </c>
      <c r="D72" s="553" t="s">
        <v>7</v>
      </c>
      <c r="E72" s="552">
        <v>142</v>
      </c>
      <c r="F72" s="559">
        <v>110000</v>
      </c>
      <c r="G72" s="559">
        <v>110000</v>
      </c>
      <c r="H72" s="559">
        <v>110000</v>
      </c>
      <c r="I72" s="559"/>
      <c r="J72" s="559"/>
      <c r="K72" s="559"/>
      <c r="L72" s="559">
        <v>0</v>
      </c>
      <c r="M72" s="559"/>
    </row>
    <row r="73" spans="1:13" ht="20.100000000000001" customHeight="1" x14ac:dyDescent="0.2">
      <c r="A73" s="410" t="str">
        <f t="shared" si="1"/>
        <v>174268-3-142</v>
      </c>
      <c r="B73" s="547">
        <v>174268</v>
      </c>
      <c r="C73" s="548">
        <v>3</v>
      </c>
      <c r="D73" s="549" t="s">
        <v>8</v>
      </c>
      <c r="E73" s="548">
        <v>142</v>
      </c>
      <c r="F73" s="558">
        <v>699994.5</v>
      </c>
      <c r="G73" s="558">
        <v>649551.4</v>
      </c>
      <c r="H73" s="558">
        <v>367194.17</v>
      </c>
      <c r="I73" s="558">
        <v>282357.23</v>
      </c>
      <c r="J73" s="558">
        <v>23032.799999999999</v>
      </c>
      <c r="K73" s="558">
        <v>259324.43</v>
      </c>
      <c r="L73" s="558">
        <v>50443.1</v>
      </c>
      <c r="M73" s="558"/>
    </row>
    <row r="74" spans="1:13" ht="20.100000000000001" customHeight="1" x14ac:dyDescent="0.2">
      <c r="A74" s="410" t="str">
        <f t="shared" si="1"/>
        <v>174268-4-142</v>
      </c>
      <c r="B74" s="551">
        <v>174268</v>
      </c>
      <c r="C74" s="552">
        <v>4</v>
      </c>
      <c r="D74" s="553" t="s">
        <v>7</v>
      </c>
      <c r="E74" s="552">
        <v>142</v>
      </c>
      <c r="F74" s="559">
        <v>15814.9</v>
      </c>
      <c r="G74" s="559">
        <v>12000</v>
      </c>
      <c r="H74" s="559">
        <v>12000</v>
      </c>
      <c r="I74" s="559"/>
      <c r="J74" s="559"/>
      <c r="K74" s="559"/>
      <c r="L74" s="559">
        <v>3814.9</v>
      </c>
      <c r="M74" s="559"/>
    </row>
    <row r="75" spans="1:13" ht="20.100000000000001" customHeight="1" x14ac:dyDescent="0.2">
      <c r="A75" s="410" t="str">
        <f t="shared" si="1"/>
        <v>174269-3-142</v>
      </c>
      <c r="B75" s="547">
        <v>174269</v>
      </c>
      <c r="C75" s="548">
        <v>3</v>
      </c>
      <c r="D75" s="549" t="s">
        <v>8</v>
      </c>
      <c r="E75" s="548">
        <v>142</v>
      </c>
      <c r="F75" s="558">
        <v>4170347.48</v>
      </c>
      <c r="G75" s="558">
        <v>3319981.94</v>
      </c>
      <c r="H75" s="558">
        <v>1051703.42</v>
      </c>
      <c r="I75" s="558">
        <v>2268278.52</v>
      </c>
      <c r="J75" s="558">
        <v>283935.37</v>
      </c>
      <c r="K75" s="558">
        <v>1984343.15</v>
      </c>
      <c r="L75" s="558">
        <v>850365.54</v>
      </c>
      <c r="M75" s="558"/>
    </row>
    <row r="76" spans="1:13" ht="20.100000000000001" customHeight="1" x14ac:dyDescent="0.2">
      <c r="A76" s="410" t="str">
        <f t="shared" si="1"/>
        <v>174270-3-142</v>
      </c>
      <c r="B76" s="551">
        <v>174270</v>
      </c>
      <c r="C76" s="552">
        <v>3</v>
      </c>
      <c r="D76" s="553" t="s">
        <v>8</v>
      </c>
      <c r="E76" s="552">
        <v>142</v>
      </c>
      <c r="F76" s="559">
        <v>2641000</v>
      </c>
      <c r="G76" s="559">
        <v>2131332.9500000002</v>
      </c>
      <c r="H76" s="559">
        <v>1817226.24</v>
      </c>
      <c r="I76" s="559">
        <v>314106.71000000002</v>
      </c>
      <c r="J76" s="559">
        <v>193780.61</v>
      </c>
      <c r="K76" s="559">
        <v>120326.1</v>
      </c>
      <c r="L76" s="559">
        <v>509667.05</v>
      </c>
      <c r="M76" s="559"/>
    </row>
    <row r="77" spans="1:13" ht="20.100000000000001" customHeight="1" x14ac:dyDescent="0.2">
      <c r="A77" s="410" t="str">
        <f t="shared" si="1"/>
        <v>174271-3-142</v>
      </c>
      <c r="B77" s="547">
        <v>174271</v>
      </c>
      <c r="C77" s="548">
        <v>3</v>
      </c>
      <c r="D77" s="549" t="s">
        <v>8</v>
      </c>
      <c r="E77" s="548">
        <v>142</v>
      </c>
      <c r="F77" s="558">
        <v>398913.63</v>
      </c>
      <c r="G77" s="558">
        <v>342824.86</v>
      </c>
      <c r="H77" s="558">
        <v>77240.05</v>
      </c>
      <c r="I77" s="558">
        <v>265584.81</v>
      </c>
      <c r="J77" s="558">
        <v>24486.37</v>
      </c>
      <c r="K77" s="558">
        <v>241098.44</v>
      </c>
      <c r="L77" s="558">
        <v>56088.77</v>
      </c>
      <c r="M77" s="558"/>
    </row>
    <row r="78" spans="1:13" ht="20.100000000000001" customHeight="1" x14ac:dyDescent="0.2">
      <c r="A78" s="410" t="str">
        <f t="shared" si="1"/>
        <v>174271-4-142</v>
      </c>
      <c r="B78" s="551">
        <v>174271</v>
      </c>
      <c r="C78" s="552">
        <v>4</v>
      </c>
      <c r="D78" s="553" t="s">
        <v>7</v>
      </c>
      <c r="E78" s="552">
        <v>142</v>
      </c>
      <c r="F78" s="559">
        <v>100000</v>
      </c>
      <c r="G78" s="559">
        <v>100000</v>
      </c>
      <c r="H78" s="559">
        <v>100000</v>
      </c>
      <c r="I78" s="559"/>
      <c r="J78" s="559"/>
      <c r="K78" s="559"/>
      <c r="L78" s="559">
        <v>0</v>
      </c>
      <c r="M78" s="559"/>
    </row>
    <row r="79" spans="1:13" ht="20.100000000000001" customHeight="1" x14ac:dyDescent="0.2">
      <c r="A79" s="410" t="str">
        <f t="shared" si="1"/>
        <v>174272-3-142</v>
      </c>
      <c r="B79" s="547">
        <v>174272</v>
      </c>
      <c r="C79" s="548">
        <v>3</v>
      </c>
      <c r="D79" s="549" t="s">
        <v>8</v>
      </c>
      <c r="E79" s="548">
        <v>142</v>
      </c>
      <c r="F79" s="558">
        <v>397075.69</v>
      </c>
      <c r="G79" s="558">
        <v>347295.68</v>
      </c>
      <c r="H79" s="558">
        <v>192848.38</v>
      </c>
      <c r="I79" s="558">
        <v>154447.29999999999</v>
      </c>
      <c r="J79" s="558">
        <v>1829.19</v>
      </c>
      <c r="K79" s="558">
        <v>152618.10999999999</v>
      </c>
      <c r="L79" s="558">
        <v>49780.01</v>
      </c>
      <c r="M79" s="558"/>
    </row>
    <row r="80" spans="1:13" ht="20.100000000000001" customHeight="1" x14ac:dyDescent="0.2">
      <c r="A80" s="410" t="str">
        <f t="shared" si="1"/>
        <v>174273-3-142</v>
      </c>
      <c r="B80" s="551">
        <v>174273</v>
      </c>
      <c r="C80" s="552">
        <v>3</v>
      </c>
      <c r="D80" s="553" t="s">
        <v>8</v>
      </c>
      <c r="E80" s="552">
        <v>142</v>
      </c>
      <c r="F80" s="559">
        <v>1000000</v>
      </c>
      <c r="G80" s="559">
        <v>1000000</v>
      </c>
      <c r="H80" s="559">
        <v>1000000</v>
      </c>
      <c r="I80" s="559"/>
      <c r="J80" s="559"/>
      <c r="K80" s="559"/>
      <c r="L80" s="559">
        <v>0</v>
      </c>
      <c r="M80" s="559"/>
    </row>
    <row r="81" spans="1:13" ht="20.100000000000001" customHeight="1" x14ac:dyDescent="0.2">
      <c r="A81" s="410" t="str">
        <f t="shared" si="1"/>
        <v>195063-3-100</v>
      </c>
      <c r="B81" s="547">
        <v>195063</v>
      </c>
      <c r="C81" s="548">
        <v>3</v>
      </c>
      <c r="D81" s="549" t="s">
        <v>8</v>
      </c>
      <c r="E81" s="548">
        <v>100</v>
      </c>
      <c r="F81" s="558">
        <v>780411.41</v>
      </c>
      <c r="G81" s="558">
        <v>763292.49</v>
      </c>
      <c r="H81" s="558">
        <v>1881.32</v>
      </c>
      <c r="I81" s="558">
        <v>761411.17</v>
      </c>
      <c r="J81" s="558">
        <v>110676.96</v>
      </c>
      <c r="K81" s="558">
        <v>650734.21</v>
      </c>
      <c r="L81" s="558">
        <v>17118.919999999998</v>
      </c>
      <c r="M81" s="558"/>
    </row>
    <row r="82" spans="1:13" ht="20.100000000000001" customHeight="1" x14ac:dyDescent="0.2">
      <c r="A82" s="410" t="str">
        <f t="shared" si="1"/>
        <v>195065-3-100</v>
      </c>
      <c r="B82" s="551">
        <v>195065</v>
      </c>
      <c r="C82" s="552">
        <v>3</v>
      </c>
      <c r="D82" s="553" t="s">
        <v>8</v>
      </c>
      <c r="E82" s="552">
        <v>100</v>
      </c>
      <c r="F82" s="559">
        <v>80019.22</v>
      </c>
      <c r="G82" s="559">
        <v>76990.850000000006</v>
      </c>
      <c r="H82" s="559">
        <v>1726.64</v>
      </c>
      <c r="I82" s="559">
        <v>75264.210000000006</v>
      </c>
      <c r="J82" s="559">
        <v>0</v>
      </c>
      <c r="K82" s="559">
        <v>75264.210000000006</v>
      </c>
      <c r="L82" s="559">
        <v>3028.37</v>
      </c>
      <c r="M82" s="559"/>
    </row>
    <row r="83" spans="1:13" ht="20.100000000000001" customHeight="1" x14ac:dyDescent="0.2">
      <c r="A83" s="410" t="str">
        <f t="shared" si="1"/>
        <v>195067-3-100</v>
      </c>
      <c r="B83" s="547">
        <v>195067</v>
      </c>
      <c r="C83" s="548">
        <v>3</v>
      </c>
      <c r="D83" s="549" t="s">
        <v>8</v>
      </c>
      <c r="E83" s="548">
        <v>100</v>
      </c>
      <c r="F83" s="558">
        <v>8645406.3200000003</v>
      </c>
      <c r="G83" s="558">
        <v>8645406.3200000003</v>
      </c>
      <c r="H83" s="558">
        <v>36181.089999999997</v>
      </c>
      <c r="I83" s="558">
        <v>8609225.2300000004</v>
      </c>
      <c r="J83" s="558">
        <v>0</v>
      </c>
      <c r="K83" s="558">
        <v>8609225.2300000004</v>
      </c>
      <c r="L83" s="558">
        <v>0</v>
      </c>
      <c r="M83" s="558"/>
    </row>
    <row r="84" spans="1:13" ht="20.100000000000001" customHeight="1" x14ac:dyDescent="0.2">
      <c r="A84" s="410" t="str">
        <f t="shared" si="1"/>
        <v>204816-3-181</v>
      </c>
      <c r="B84" s="551">
        <v>204816</v>
      </c>
      <c r="C84" s="552">
        <v>3</v>
      </c>
      <c r="D84" s="553" t="s">
        <v>8</v>
      </c>
      <c r="E84" s="552">
        <v>181</v>
      </c>
      <c r="F84" s="559">
        <v>356812.77</v>
      </c>
      <c r="G84" s="559">
        <v>296542.39</v>
      </c>
      <c r="H84" s="559">
        <v>2323.1999999999998</v>
      </c>
      <c r="I84" s="559">
        <v>294219.19</v>
      </c>
      <c r="J84" s="559">
        <v>10427.549999999999</v>
      </c>
      <c r="K84" s="559">
        <v>283791.64</v>
      </c>
      <c r="L84" s="559">
        <v>60270.38</v>
      </c>
      <c r="M84" s="559"/>
    </row>
    <row r="85" spans="1:13" ht="20.100000000000001" customHeight="1" x14ac:dyDescent="0.2">
      <c r="A85" s="410" t="str">
        <f t="shared" si="1"/>
        <v>204817-3-181</v>
      </c>
      <c r="B85" s="547">
        <v>204817</v>
      </c>
      <c r="C85" s="548">
        <v>3</v>
      </c>
      <c r="D85" s="549" t="s">
        <v>8</v>
      </c>
      <c r="E85" s="548">
        <v>181</v>
      </c>
      <c r="F85" s="558">
        <v>113548.63</v>
      </c>
      <c r="G85" s="558">
        <v>99606.91</v>
      </c>
      <c r="H85" s="558">
        <v>26265.14</v>
      </c>
      <c r="I85" s="558">
        <v>73341.77</v>
      </c>
      <c r="J85" s="558">
        <v>1509.15</v>
      </c>
      <c r="K85" s="558">
        <v>71832.62</v>
      </c>
      <c r="L85" s="558">
        <v>13941.72</v>
      </c>
      <c r="M85" s="558"/>
    </row>
    <row r="86" spans="1:13" ht="20.100000000000001" customHeight="1" x14ac:dyDescent="0.2">
      <c r="B86" s="555" t="s">
        <v>9</v>
      </c>
      <c r="C86" s="556"/>
      <c r="D86" s="556"/>
      <c r="E86" s="555"/>
      <c r="F86" s="557">
        <v>361024860.89999998</v>
      </c>
      <c r="G86" s="557">
        <v>351366242.99000001</v>
      </c>
      <c r="H86" s="557">
        <v>98918663.659999996</v>
      </c>
      <c r="I86" s="557">
        <v>252447579.33000001</v>
      </c>
      <c r="J86" s="557">
        <v>24124815.32</v>
      </c>
      <c r="K86" s="557">
        <v>228322764.00999999</v>
      </c>
      <c r="L86" s="557">
        <v>10265239.859999999</v>
      </c>
      <c r="M86" s="557">
        <v>0</v>
      </c>
    </row>
    <row r="88" spans="1:13" ht="20.100000000000001" customHeight="1" x14ac:dyDescent="0.2">
      <c r="G88" s="458">
        <f>G86-'Execução Orçamentária'!R417</f>
        <v>0</v>
      </c>
      <c r="I88" s="458">
        <f>I86-'Execução Orçamentária'!S417</f>
        <v>0</v>
      </c>
      <c r="K88" s="458">
        <f>K86-'Execução Orçamentária'!T417</f>
        <v>0</v>
      </c>
    </row>
    <row r="91" spans="1:13" ht="20.100000000000001" customHeight="1" x14ac:dyDescent="0.2">
      <c r="I91" s="459"/>
    </row>
  </sheetData>
  <autoFilter ref="A4:M86">
    <filterColumn colId="2" showButton="0"/>
  </autoFilter>
  <mergeCells count="13">
    <mergeCell ref="C86:D86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O14" sqref="O1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0" t="s">
        <v>62</v>
      </c>
      <c r="C3" s="491"/>
      <c r="D3" s="490" t="s">
        <v>63</v>
      </c>
      <c r="E3" s="464" t="s">
        <v>123</v>
      </c>
      <c r="F3" s="460" t="s">
        <v>121</v>
      </c>
    </row>
    <row r="4" spans="1:9" ht="41.45" customHeight="1" x14ac:dyDescent="0.2">
      <c r="B4" s="490"/>
      <c r="C4" s="491"/>
      <c r="D4" s="490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2">
        <v>332921.95</v>
      </c>
    </row>
    <row r="6" spans="1:9" ht="20.100000000000001" customHeight="1" x14ac:dyDescent="0.2">
      <c r="A6" s="410" t="str">
        <f t="shared" si="0"/>
        <v>174237-3-142</v>
      </c>
      <c r="B6" s="468">
        <v>174237</v>
      </c>
      <c r="C6" s="469">
        <v>3</v>
      </c>
      <c r="D6" s="470" t="s">
        <v>8</v>
      </c>
      <c r="E6" s="469">
        <v>142</v>
      </c>
      <c r="F6" s="473">
        <v>273700</v>
      </c>
    </row>
    <row r="7" spans="1:9" ht="20.100000000000001" customHeight="1" x14ac:dyDescent="0.2">
      <c r="B7" s="474" t="s">
        <v>9</v>
      </c>
      <c r="C7" s="483"/>
      <c r="D7" s="483"/>
      <c r="E7" s="474"/>
      <c r="F7" s="471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9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X19" sqref="X19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6"/>
      <c r="I1" s="496"/>
      <c r="J1" s="49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44771</v>
      </c>
      <c r="V4" s="379"/>
    </row>
    <row r="5" spans="1:33" s="10" customFormat="1" ht="15" customHeight="1" thickTop="1" x14ac:dyDescent="0.2">
      <c r="A5" s="91"/>
      <c r="B5" s="419"/>
      <c r="C5" s="497" t="s">
        <v>59</v>
      </c>
      <c r="D5" s="500" t="s">
        <v>0</v>
      </c>
      <c r="E5" s="497" t="s">
        <v>15</v>
      </c>
      <c r="F5" s="503" t="s">
        <v>16</v>
      </c>
      <c r="G5" s="497" t="s">
        <v>220</v>
      </c>
      <c r="H5" s="494" t="s">
        <v>347</v>
      </c>
      <c r="I5" s="494" t="s">
        <v>65</v>
      </c>
      <c r="J5" s="494" t="s">
        <v>345</v>
      </c>
      <c r="K5" s="494" t="s">
        <v>84</v>
      </c>
      <c r="L5" s="494" t="s">
        <v>346</v>
      </c>
      <c r="M5" s="494" t="s">
        <v>309</v>
      </c>
      <c r="N5" s="494" t="s">
        <v>301</v>
      </c>
      <c r="O5" s="494" t="s">
        <v>17</v>
      </c>
      <c r="P5" s="494" t="s">
        <v>18</v>
      </c>
      <c r="Q5" s="380"/>
      <c r="R5" s="494" t="s">
        <v>19</v>
      </c>
      <c r="S5" s="494" t="s">
        <v>20</v>
      </c>
      <c r="T5" s="494" t="s">
        <v>61</v>
      </c>
      <c r="U5" s="492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8"/>
      <c r="D6" s="501"/>
      <c r="E6" s="498"/>
      <c r="F6" s="504"/>
      <c r="G6" s="498"/>
      <c r="H6" s="495"/>
      <c r="I6" s="495"/>
      <c r="J6" s="495"/>
      <c r="K6" s="495"/>
      <c r="L6" s="495"/>
      <c r="M6" s="495"/>
      <c r="N6" s="495"/>
      <c r="O6" s="495"/>
      <c r="P6" s="495"/>
      <c r="Q6" s="380"/>
      <c r="R6" s="495"/>
      <c r="S6" s="495"/>
      <c r="T6" s="495"/>
      <c r="U6" s="493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8"/>
      <c r="D7" s="501"/>
      <c r="E7" s="498"/>
      <c r="F7" s="504"/>
      <c r="G7" s="498"/>
      <c r="H7" s="495"/>
      <c r="I7" s="495"/>
      <c r="J7" s="495"/>
      <c r="K7" s="495"/>
      <c r="L7" s="495"/>
      <c r="M7" s="495"/>
      <c r="N7" s="495"/>
      <c r="O7" s="495"/>
      <c r="P7" s="495"/>
      <c r="Q7" s="380"/>
      <c r="R7" s="495"/>
      <c r="S7" s="495"/>
      <c r="T7" s="495"/>
      <c r="U7" s="493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9"/>
      <c r="D8" s="502"/>
      <c r="E8" s="499"/>
      <c r="F8" s="505"/>
      <c r="G8" s="499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1602231.4300000002</v>
      </c>
      <c r="P9" s="26">
        <f t="shared" si="0"/>
        <v>263183.57</v>
      </c>
      <c r="Q9" s="35">
        <f>SUM(Q11:Q12)</f>
        <v>0</v>
      </c>
      <c r="R9" s="26">
        <f t="shared" si="0"/>
        <v>1602231.4300000002</v>
      </c>
      <c r="S9" s="26">
        <f t="shared" si="0"/>
        <v>1602231.4300000002</v>
      </c>
      <c r="T9" s="26">
        <f t="shared" si="0"/>
        <v>1602231.4300000002</v>
      </c>
      <c r="U9" s="156">
        <f>+IFERROR((R9/N9),0%)</f>
        <v>0.85891419871717567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1343247.55</v>
      </c>
      <c r="P11" s="31">
        <f t="shared" si="1"/>
        <v>221349.45</v>
      </c>
      <c r="Q11" s="23">
        <f t="shared" ref="Q11:T12" si="2">Q16+Q21+Q26</f>
        <v>0</v>
      </c>
      <c r="R11" s="31">
        <f t="shared" si="2"/>
        <v>1343247.55</v>
      </c>
      <c r="S11" s="31">
        <f t="shared" si="2"/>
        <v>1343247.55</v>
      </c>
      <c r="T11" s="31">
        <f t="shared" si="2"/>
        <v>1343247.55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258983.88</v>
      </c>
      <c r="P12" s="31">
        <f>P17+P22+P27</f>
        <v>41834.119999999995</v>
      </c>
      <c r="Q12" s="23">
        <f t="shared" si="2"/>
        <v>0</v>
      </c>
      <c r="R12" s="31">
        <f t="shared" si="2"/>
        <v>258983.88</v>
      </c>
      <c r="S12" s="31">
        <f t="shared" si="2"/>
        <v>258983.88</v>
      </c>
      <c r="T12" s="31">
        <f t="shared" si="2"/>
        <v>258983.88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1523580.88</v>
      </c>
      <c r="P20" s="228">
        <f t="shared" si="5"/>
        <v>31834.119999999995</v>
      </c>
      <c r="Q20" s="21">
        <f t="shared" si="5"/>
        <v>0</v>
      </c>
      <c r="R20" s="21">
        <f t="shared" si="5"/>
        <v>1523580.88</v>
      </c>
      <c r="S20" s="21">
        <f t="shared" si="5"/>
        <v>1523580.88</v>
      </c>
      <c r="T20" s="21">
        <f t="shared" si="5"/>
        <v>1523580.88</v>
      </c>
      <c r="U20" s="154">
        <f>+IFERROR((R20/N20),0%)</f>
        <v>0.97953335926424778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258983.88</v>
      </c>
      <c r="P22" s="231">
        <f>+N22-O22</f>
        <v>31834.119999999995</v>
      </c>
      <c r="Q22" s="32"/>
      <c r="R22" s="231">
        <f>IFERROR(VLOOKUP(G22,'Base Execução'!$A:$K,7,FALSE),0)</f>
        <v>258983.88</v>
      </c>
      <c r="S22" s="231">
        <f>IFERROR(VLOOKUP(G22,'Base Execução'!$A:$K,9,FALSE),0)</f>
        <v>258983.88</v>
      </c>
      <c r="T22" s="32">
        <f>IFERROR(VLOOKUP(G22,'Base Execução'!$A:$K,11,FALSE),0)</f>
        <v>258983.88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78650.55</v>
      </c>
      <c r="P25" s="228">
        <f t="shared" si="6"/>
        <v>231349.45</v>
      </c>
      <c r="Q25" s="21">
        <f t="shared" si="6"/>
        <v>0</v>
      </c>
      <c r="R25" s="21">
        <f t="shared" si="6"/>
        <v>78650.55</v>
      </c>
      <c r="S25" s="21">
        <f t="shared" si="6"/>
        <v>78650.55</v>
      </c>
      <c r="T25" s="21">
        <f t="shared" si="6"/>
        <v>78650.55</v>
      </c>
      <c r="U25" s="154">
        <f>+IFERROR((R25/N25),0%)</f>
        <v>0.25371145161290326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78650.55</v>
      </c>
      <c r="P26" s="231">
        <f>+N26-O26</f>
        <v>221349.45</v>
      </c>
      <c r="Q26" s="32"/>
      <c r="R26" s="231">
        <f>IFERROR(VLOOKUP(G26,'Base Execução'!$A:$K,7,FALSE),0)</f>
        <v>78650.55</v>
      </c>
      <c r="S26" s="231">
        <f>IFERROR(VLOOKUP(G26,'Base Execução'!$A:$K,9,FALSE),0)</f>
        <v>78650.55</v>
      </c>
      <c r="T26" s="32">
        <f>IFERROR(VLOOKUP(G26,'Base Execução'!$A:$K,11,FALSE),0)</f>
        <v>78650.55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197886.65</v>
      </c>
      <c r="P29" s="26">
        <f t="shared" si="7"/>
        <v>154981.35</v>
      </c>
      <c r="Q29" s="22">
        <f t="shared" si="7"/>
        <v>0</v>
      </c>
      <c r="R29" s="26">
        <f t="shared" si="7"/>
        <v>197886.65</v>
      </c>
      <c r="S29" s="26">
        <f t="shared" si="7"/>
        <v>187278.5</v>
      </c>
      <c r="T29" s="26">
        <f t="shared" si="7"/>
        <v>161074.43</v>
      </c>
      <c r="U29" s="156">
        <f>+IFERROR((R29/N29),0%)</f>
        <v>0.56079511318680075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197886.65</v>
      </c>
      <c r="P31" s="32">
        <f t="shared" si="8"/>
        <v>154981.35</v>
      </c>
      <c r="Q31" s="32">
        <f t="shared" si="8"/>
        <v>0</v>
      </c>
      <c r="R31" s="32">
        <f t="shared" si="8"/>
        <v>197886.65</v>
      </c>
      <c r="S31" s="32">
        <f t="shared" si="8"/>
        <v>187278.5</v>
      </c>
      <c r="T31" s="32">
        <f t="shared" si="8"/>
        <v>161074.43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197886.65</v>
      </c>
      <c r="P34" s="228">
        <f t="shared" si="9"/>
        <v>154981.35</v>
      </c>
      <c r="Q34" s="21">
        <f t="shared" si="9"/>
        <v>0</v>
      </c>
      <c r="R34" s="21">
        <f t="shared" si="9"/>
        <v>197886.65</v>
      </c>
      <c r="S34" s="21">
        <f t="shared" si="9"/>
        <v>187278.5</v>
      </c>
      <c r="T34" s="21">
        <f t="shared" si="9"/>
        <v>161074.43</v>
      </c>
      <c r="U34" s="154">
        <f>+IFERROR((R34/N34),0%)</f>
        <v>0.56079511318680075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197886.65</v>
      </c>
      <c r="P35" s="231">
        <f>+N35-O35</f>
        <v>154981.35</v>
      </c>
      <c r="Q35" s="32"/>
      <c r="R35" s="231">
        <f>IFERROR(VLOOKUP(G35,'Base Execução'!$A:$K,7,FALSE),0)</f>
        <v>197886.65</v>
      </c>
      <c r="S35" s="231">
        <f>IFERROR(VLOOKUP(G35,'Base Execução'!$A:$K,9,FALSE),0)</f>
        <v>187278.5</v>
      </c>
      <c r="T35" s="32">
        <f>IFERROR(VLOOKUP(G35,'Base Execução'!$A:$K,11,FALSE),0)</f>
        <v>161074.43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34812730.209999993</v>
      </c>
      <c r="P65" s="26">
        <f t="shared" si="20"/>
        <v>187269.78999999922</v>
      </c>
      <c r="Q65" s="35">
        <f>SUM(Q69:Q72)</f>
        <v>0</v>
      </c>
      <c r="R65" s="26">
        <f t="shared" si="20"/>
        <v>33865284.420000002</v>
      </c>
      <c r="S65" s="26">
        <f t="shared" si="20"/>
        <v>13162920.9</v>
      </c>
      <c r="T65" s="26">
        <f t="shared" si="20"/>
        <v>11956630.780000001</v>
      </c>
      <c r="U65" s="156">
        <f>+IFERROR((R65/N65),0%)</f>
        <v>0.96757955485714287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29068303.800000001</v>
      </c>
      <c r="P69" s="231">
        <f t="shared" si="24"/>
        <v>181696.19999999925</v>
      </c>
      <c r="Q69" s="32">
        <f t="shared" si="24"/>
        <v>0</v>
      </c>
      <c r="R69" s="32">
        <f t="shared" si="24"/>
        <v>28181410.530000001</v>
      </c>
      <c r="S69" s="32">
        <f t="shared" si="24"/>
        <v>13070383.01</v>
      </c>
      <c r="T69" s="32">
        <f t="shared" si="24"/>
        <v>11893290.890000001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794426.41</v>
      </c>
      <c r="P70" s="231">
        <f t="shared" si="25"/>
        <v>5573.5899999999674</v>
      </c>
      <c r="Q70" s="32">
        <f t="shared" si="25"/>
        <v>0</v>
      </c>
      <c r="R70" s="32">
        <f t="shared" si="25"/>
        <v>733873.89</v>
      </c>
      <c r="S70" s="32">
        <f t="shared" si="25"/>
        <v>92537.89</v>
      </c>
      <c r="T70" s="32">
        <f t="shared" si="25"/>
        <v>63339.89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34812730.209999993</v>
      </c>
      <c r="P75" s="228">
        <f t="shared" si="28"/>
        <v>187269.78999999922</v>
      </c>
      <c r="Q75" s="21">
        <f>SUM(Q78:Q81)</f>
        <v>0</v>
      </c>
      <c r="R75" s="21">
        <f>SUM(R76:R81)</f>
        <v>33865284.420000002</v>
      </c>
      <c r="S75" s="21">
        <f>SUM(S76:S81)</f>
        <v>13162920.9</v>
      </c>
      <c r="T75" s="21">
        <f>SUM(T76:T81)</f>
        <v>11956630.780000001</v>
      </c>
      <c r="U75" s="154">
        <f>+IFERROR((R75/N75),0%)</f>
        <v>0.96757955485714287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29068303.800000001</v>
      </c>
      <c r="P78" s="231">
        <f t="shared" si="33"/>
        <v>181696.19999999925</v>
      </c>
      <c r="Q78" s="320"/>
      <c r="R78" s="231">
        <f>IFERROR(VLOOKUP(G78,'Base Execução'!$A:$K,7,FALSE),0)</f>
        <v>28181410.530000001</v>
      </c>
      <c r="S78" s="231">
        <f>IFERROR(VLOOKUP(G78,'Base Execução'!$A:$K,9,FALSE),0)</f>
        <v>13070383.01</v>
      </c>
      <c r="T78" s="32">
        <f>IFERROR(VLOOKUP(G78,'Base Execução'!$A:$K,11,FALSE),0)</f>
        <v>11893290.890000001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794426.41</v>
      </c>
      <c r="P79" s="231">
        <f t="shared" si="33"/>
        <v>5573.5899999999674</v>
      </c>
      <c r="Q79" s="320"/>
      <c r="R79" s="231">
        <f>IFERROR(VLOOKUP(G79,'Base Execução'!$A:$K,7,FALSE),0)</f>
        <v>733873.89</v>
      </c>
      <c r="S79" s="231">
        <f>IFERROR(VLOOKUP(G79,'Base Execução'!$A:$K,9,FALSE),0)</f>
        <v>92537.89</v>
      </c>
      <c r="T79" s="32">
        <f>IFERROR(VLOOKUP(G79,'Base Execução'!$A:$K,11,FALSE),0)</f>
        <v>63339.89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24030876.170000002</v>
      </c>
      <c r="P83" s="26">
        <f t="shared" si="34"/>
        <v>5414297.839999998</v>
      </c>
      <c r="Q83" s="22">
        <f>Q85</f>
        <v>0</v>
      </c>
      <c r="R83" s="26">
        <f t="shared" si="34"/>
        <v>23929826.120000005</v>
      </c>
      <c r="S83" s="26">
        <f t="shared" si="34"/>
        <v>11984699.639999999</v>
      </c>
      <c r="T83" s="26">
        <f t="shared" si="34"/>
        <v>11734704.52</v>
      </c>
      <c r="U83" s="156">
        <f>+IFERROR((R83/N83),0%)</f>
        <v>0.89998607775733142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2856067.01</v>
      </c>
      <c r="P85" s="32">
        <f t="shared" si="35"/>
        <v>0</v>
      </c>
      <c r="Q85" s="32">
        <f t="shared" si="35"/>
        <v>0</v>
      </c>
      <c r="R85" s="32">
        <f t="shared" si="35"/>
        <v>2856067.01</v>
      </c>
      <c r="S85" s="32">
        <f t="shared" si="35"/>
        <v>2856067.01</v>
      </c>
      <c r="T85" s="32">
        <f t="shared" si="35"/>
        <v>2856067.01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21174809.16</v>
      </c>
      <c r="P86" s="32">
        <f t="shared" si="36"/>
        <v>5414297.839999998</v>
      </c>
      <c r="Q86" s="32"/>
      <c r="R86" s="32">
        <f t="shared" si="36"/>
        <v>21073759.110000003</v>
      </c>
      <c r="S86" s="32">
        <f t="shared" si="36"/>
        <v>9128632.629999999</v>
      </c>
      <c r="T86" s="32">
        <f t="shared" si="36"/>
        <v>8878637.5099999998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23564274.810000002</v>
      </c>
      <c r="P89" s="21">
        <f t="shared" si="37"/>
        <v>4820926.4899999984</v>
      </c>
      <c r="Q89" s="21">
        <f>Q90</f>
        <v>0</v>
      </c>
      <c r="R89" s="21">
        <f>SUM(R90:R91)</f>
        <v>23560493.220000003</v>
      </c>
      <c r="S89" s="21">
        <f>SUM(S90:S91)</f>
        <v>11676290.890000001</v>
      </c>
      <c r="T89" s="21">
        <f>SUM(T90:T91)</f>
        <v>11432044.32</v>
      </c>
      <c r="U89" s="154">
        <f>+IFERROR((R89/N89),0%)</f>
        <v>0.92065039775484803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2794061.3</v>
      </c>
      <c r="P90" s="231">
        <v>0</v>
      </c>
      <c r="Q90" s="32"/>
      <c r="R90" s="231">
        <f>IFERROR(VLOOKUP(G90,'Base Execução'!$A:$K,7,FALSE),0)</f>
        <v>2794061.3</v>
      </c>
      <c r="S90" s="231">
        <f>IFERROR(VLOOKUP(G90,'Base Execução'!$A:$K,9,FALSE),0)</f>
        <v>2794061.3</v>
      </c>
      <c r="T90" s="32">
        <f>IFERROR(VLOOKUP(G90,'Base Execução'!$A:$K,11,FALSE),0)</f>
        <v>2794061.3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20770213.510000002</v>
      </c>
      <c r="P91" s="231">
        <f>+N91-O91</f>
        <v>4820926.4899999984</v>
      </c>
      <c r="Q91" s="32"/>
      <c r="R91" s="231">
        <f>IFERROR(VLOOKUP(G91,'Base Execução'!$A:$K,7,FALSE),0)</f>
        <v>20766431.920000002</v>
      </c>
      <c r="S91" s="231">
        <f>IFERROR(VLOOKUP(G91,'Base Execução'!$A:$K,9,FALSE),0)</f>
        <v>8882229.5899999999</v>
      </c>
      <c r="T91" s="32">
        <f>IFERROR(VLOOKUP(G91,'Base Execução'!$A:$K,11,FALSE),0)</f>
        <v>8637983.0199999996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466601.36000000004</v>
      </c>
      <c r="P93" s="21">
        <f t="shared" si="38"/>
        <v>593371.35</v>
      </c>
      <c r="Q93" s="21">
        <f t="shared" ref="Q93" si="39">Q94</f>
        <v>0</v>
      </c>
      <c r="R93" s="21">
        <f t="shared" ref="R93" si="40">SUM(R94:R95)</f>
        <v>369332.9</v>
      </c>
      <c r="S93" s="21">
        <f t="shared" ref="S93" si="41">SUM(S94:S95)</f>
        <v>308408.75</v>
      </c>
      <c r="T93" s="21">
        <f t="shared" ref="T93" si="42">SUM(T94:T95)</f>
        <v>302660.2</v>
      </c>
      <c r="U93" s="154">
        <f>+IFERROR((R93/N93),0%)</f>
        <v>0.37008528338111385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62005.71</v>
      </c>
      <c r="P94" s="231">
        <v>0</v>
      </c>
      <c r="Q94" s="31"/>
      <c r="R94" s="231">
        <f>IFERROR(VLOOKUP(G94,'Base Execução'!$A:$K,7,FALSE),0)</f>
        <v>62005.71</v>
      </c>
      <c r="S94" s="231">
        <f>IFERROR(VLOOKUP(G94,'Base Execução'!$A:$K,9,FALSE),0)</f>
        <v>62005.71</v>
      </c>
      <c r="T94" s="32">
        <f>IFERROR(VLOOKUP(G94,'Base Execução'!$A:$K,11,FALSE),0)</f>
        <v>62005.71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404595.65</v>
      </c>
      <c r="P95" s="231">
        <f>+N95-O95</f>
        <v>593371.35</v>
      </c>
      <c r="Q95" s="31"/>
      <c r="R95" s="231">
        <f>IFERROR(VLOOKUP(G95,'Base Execução'!$A:$K,7,FALSE),0)</f>
        <v>307327.19</v>
      </c>
      <c r="S95" s="231">
        <f>IFERROR(VLOOKUP(G95,'Base Execução'!$A:$K,9,FALSE),0)</f>
        <v>246403.04</v>
      </c>
      <c r="T95" s="32">
        <f>IFERROR(VLOOKUP(G95,'Base Execução'!$A:$K,11,FALSE),0)</f>
        <v>240654.49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247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9505836.9500000011</v>
      </c>
      <c r="P97" s="26">
        <f>SUM(P99:P101)</f>
        <v>10305580.049999999</v>
      </c>
      <c r="Q97" s="22">
        <f>Q99</f>
        <v>0</v>
      </c>
      <c r="R97" s="26">
        <f t="shared" si="43"/>
        <v>9485689.6600000001</v>
      </c>
      <c r="S97" s="26">
        <f t="shared" si="43"/>
        <v>9445900.6100000013</v>
      </c>
      <c r="T97" s="26">
        <f t="shared" si="43"/>
        <v>9335223.6500000004</v>
      </c>
      <c r="U97" s="156">
        <f>+IFERROR((R97/N97),0%)</f>
        <v>0.47879915202431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316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9505836.9500000011</v>
      </c>
      <c r="P99" s="32">
        <f>P105+P112+P119+P122</f>
        <v>10305580.049999999</v>
      </c>
      <c r="Q99" s="32">
        <f>Q105+Q112+Q119</f>
        <v>0</v>
      </c>
      <c r="R99" s="32">
        <f t="shared" si="44"/>
        <v>9485689.6600000001</v>
      </c>
      <c r="S99" s="32">
        <f t="shared" si="44"/>
        <v>9445900.6100000013</v>
      </c>
      <c r="T99" s="32">
        <f t="shared" si="44"/>
        <v>9335223.6500000004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249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780411.41</v>
      </c>
      <c r="P103" s="21">
        <f t="shared" si="47"/>
        <v>1169090.5899999999</v>
      </c>
      <c r="Q103" s="31"/>
      <c r="R103" s="21">
        <f>R104+R107</f>
        <v>763292.49</v>
      </c>
      <c r="S103" s="21">
        <f>S104+S107</f>
        <v>761411.17</v>
      </c>
      <c r="T103" s="21">
        <f>T104+T107</f>
        <v>650734.21</v>
      </c>
      <c r="U103" s="154">
        <f>+IFERROR((R103/N103),0%)</f>
        <v>0.39153203741263154</v>
      </c>
    </row>
    <row r="104" spans="1:33" ht="15" customHeight="1" x14ac:dyDescent="0.2">
      <c r="A104" s="276"/>
      <c r="B104" s="38" t="s">
        <v>252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780411.41</v>
      </c>
      <c r="P104" s="228">
        <f>P105+P106</f>
        <v>1169090.5899999999</v>
      </c>
      <c r="Q104" s="21">
        <f>Q105</f>
        <v>0</v>
      </c>
      <c r="R104" s="21">
        <f>R105+R106</f>
        <v>763292.49</v>
      </c>
      <c r="S104" s="21">
        <f>S105+S106</f>
        <v>761411.17</v>
      </c>
      <c r="T104" s="21">
        <f>T105+T106</f>
        <v>650734.21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780411.41</v>
      </c>
      <c r="P105" s="231">
        <f>+N105-O105</f>
        <v>1169090.5899999999</v>
      </c>
      <c r="Q105" s="33"/>
      <c r="R105" s="231">
        <f>IFERROR(VLOOKUP(G105,'Base Execução'!$A:$K,7,FALSE),0)</f>
        <v>763292.49</v>
      </c>
      <c r="S105" s="231">
        <f>IFERROR(VLOOKUP(G105,'Base Execução'!$A:$K,9,FALSE),0)</f>
        <v>761411.17</v>
      </c>
      <c r="T105" s="32">
        <f>IFERROR(VLOOKUP(G105,'Base Execução'!$A:$K,11,FALSE),0)</f>
        <v>650734.21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304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250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80019.22</v>
      </c>
      <c r="P110" s="21">
        <f t="shared" si="50"/>
        <v>153157.78</v>
      </c>
      <c r="Q110" s="33"/>
      <c r="R110" s="21">
        <f>R111+R114</f>
        <v>76990.850000000006</v>
      </c>
      <c r="S110" s="21">
        <f>S111+S114</f>
        <v>75264.210000000006</v>
      </c>
      <c r="T110" s="21">
        <f>T111+T114</f>
        <v>75264.210000000006</v>
      </c>
      <c r="U110" s="154">
        <f>+IFERROR((R110/N110),0%)</f>
        <v>0.33018200765941758</v>
      </c>
    </row>
    <row r="111" spans="1:33" ht="15" customHeight="1" x14ac:dyDescent="0.2">
      <c r="A111" s="276"/>
      <c r="B111" s="38" t="s">
        <v>253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80019.22</v>
      </c>
      <c r="P111" s="228">
        <f>P112+P113</f>
        <v>153157.78</v>
      </c>
      <c r="Q111" s="21">
        <f t="shared" si="51"/>
        <v>0</v>
      </c>
      <c r="R111" s="21">
        <f>R112+R113</f>
        <v>76990.850000000006</v>
      </c>
      <c r="S111" s="21">
        <f>S112+S113</f>
        <v>75264.210000000006</v>
      </c>
      <c r="T111" s="21">
        <f>T112+T113</f>
        <v>75264.210000000006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80019.22</v>
      </c>
      <c r="P112" s="231">
        <f>+N112-O112</f>
        <v>153157.78</v>
      </c>
      <c r="Q112" s="33"/>
      <c r="R112" s="231">
        <f>IFERROR(VLOOKUP(G112,'Base Execução'!$A:$K,7,FALSE),0)</f>
        <v>76990.850000000006</v>
      </c>
      <c r="S112" s="231">
        <f>IFERROR(VLOOKUP(G112,'Base Execução'!$A:$K,9,FALSE),0)</f>
        <v>75264.210000000006</v>
      </c>
      <c r="T112" s="32">
        <f>IFERROR(VLOOKUP(G112,'Base Execução'!$A:$K,11,FALSE),0)</f>
        <v>75264.210000000006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305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251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8645406.3200000003</v>
      </c>
      <c r="P117" s="21">
        <f t="shared" si="53"/>
        <v>8983331.6799999997</v>
      </c>
      <c r="Q117" s="33"/>
      <c r="R117" s="21">
        <f>R118+R121</f>
        <v>8645406.3200000003</v>
      </c>
      <c r="S117" s="21">
        <f>S118+S121</f>
        <v>8609225.2300000004</v>
      </c>
      <c r="T117" s="21">
        <f>T118+T121</f>
        <v>8609225.2300000004</v>
      </c>
      <c r="U117" s="154">
        <f>+IFERROR((R117/N117),0%)</f>
        <v>0.49041549769473008</v>
      </c>
    </row>
    <row r="118" spans="1:33" ht="15" customHeight="1" x14ac:dyDescent="0.2">
      <c r="A118" s="276"/>
      <c r="B118" s="38" t="s">
        <v>254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8645406.3200000003</v>
      </c>
      <c r="P118" s="228">
        <f>P119+P120</f>
        <v>8983331.6799999997</v>
      </c>
      <c r="Q118" s="21">
        <f t="shared" si="54"/>
        <v>0</v>
      </c>
      <c r="R118" s="21">
        <f>R119+R120</f>
        <v>8645406.3200000003</v>
      </c>
      <c r="S118" s="21">
        <f>S119+S120</f>
        <v>8609225.2300000004</v>
      </c>
      <c r="T118" s="21">
        <f>T119+T120</f>
        <v>8609225.2300000004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8645406.3200000003</v>
      </c>
      <c r="P119" s="231">
        <f>+N119-O119</f>
        <v>8983331.6799999997</v>
      </c>
      <c r="Q119" s="33"/>
      <c r="R119" s="231">
        <f>IFERROR(VLOOKUP(G119,'Base Execução'!$A:$K,7,FALSE),0)</f>
        <v>8645406.3200000003</v>
      </c>
      <c r="S119" s="231">
        <f>IFERROR(VLOOKUP(G119,'Base Execução'!$A:$K,9,FALSE),0)</f>
        <v>8609225.2300000004</v>
      </c>
      <c r="T119" s="32">
        <f>IFERROR(VLOOKUP(G119,'Base Execução'!$A:$K,11,FALSE),0)</f>
        <v>8609225.2300000004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303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255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3436635</v>
      </c>
      <c r="L125" s="26">
        <f t="shared" si="56"/>
        <v>343663503</v>
      </c>
      <c r="M125" s="26">
        <f t="shared" si="56"/>
        <v>0</v>
      </c>
      <c r="N125" s="26">
        <f t="shared" si="56"/>
        <v>343663503</v>
      </c>
      <c r="O125" s="26">
        <f t="shared" si="56"/>
        <v>214184639.28999999</v>
      </c>
      <c r="P125" s="26">
        <f t="shared" si="56"/>
        <v>129478863.71000001</v>
      </c>
      <c r="Q125" s="22">
        <f>Q127</f>
        <v>0</v>
      </c>
      <c r="R125" s="26">
        <f t="shared" si="56"/>
        <v>209585191</v>
      </c>
      <c r="S125" s="26">
        <f t="shared" si="56"/>
        <v>195200625.72</v>
      </c>
      <c r="T125" s="26">
        <f t="shared" si="56"/>
        <v>174995593.19999999</v>
      </c>
      <c r="U125" s="156">
        <f>+IFERROR((R125/N125),0%)</f>
        <v>0.6098558303993078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317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3436635</v>
      </c>
      <c r="L127" s="32">
        <f t="shared" si="57"/>
        <v>343663503</v>
      </c>
      <c r="M127" s="32">
        <f t="shared" si="57"/>
        <v>0</v>
      </c>
      <c r="N127" s="32">
        <f t="shared" si="57"/>
        <v>343663503</v>
      </c>
      <c r="O127" s="32">
        <f t="shared" si="57"/>
        <v>214184639.28999999</v>
      </c>
      <c r="P127" s="32">
        <f t="shared" si="57"/>
        <v>129478863.71000001</v>
      </c>
      <c r="Q127" s="32">
        <f>Q133</f>
        <v>0</v>
      </c>
      <c r="R127" s="32">
        <f>R133+R136</f>
        <v>209585191</v>
      </c>
      <c r="S127" s="32">
        <f>S133+S136</f>
        <v>195200625.72</v>
      </c>
      <c r="T127" s="32">
        <f>T133+T136</f>
        <v>174995593.19999999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256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3436635</v>
      </c>
      <c r="L131" s="21">
        <f t="shared" si="60"/>
        <v>343663503</v>
      </c>
      <c r="M131" s="21">
        <f t="shared" si="60"/>
        <v>0</v>
      </c>
      <c r="N131" s="21">
        <f t="shared" si="60"/>
        <v>343663503</v>
      </c>
      <c r="O131" s="21">
        <f t="shared" si="60"/>
        <v>214184639.28999999</v>
      </c>
      <c r="P131" s="21">
        <f t="shared" si="60"/>
        <v>129478863.71000001</v>
      </c>
      <c r="Q131" s="21">
        <f t="shared" si="60"/>
        <v>0</v>
      </c>
      <c r="R131" s="21">
        <f>R132+R135</f>
        <v>209585191</v>
      </c>
      <c r="S131" s="21">
        <f>S132+S135</f>
        <v>195200625.72</v>
      </c>
      <c r="T131" s="21">
        <f>T132+T135</f>
        <v>174995593.19999999</v>
      </c>
      <c r="U131" s="155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3436635</v>
      </c>
      <c r="L132" s="21">
        <f t="shared" si="61"/>
        <v>343663503</v>
      </c>
      <c r="M132" s="21">
        <f t="shared" si="61"/>
        <v>0</v>
      </c>
      <c r="N132" s="21">
        <f t="shared" si="61"/>
        <v>343663503</v>
      </c>
      <c r="O132" s="21">
        <f t="shared" si="61"/>
        <v>214184639.28999999</v>
      </c>
      <c r="P132" s="21">
        <f t="shared" si="61"/>
        <v>129478863.71000001</v>
      </c>
      <c r="Q132" s="21">
        <f>Q133</f>
        <v>0</v>
      </c>
      <c r="R132" s="21">
        <f>R133+R134</f>
        <v>209585191</v>
      </c>
      <c r="S132" s="21">
        <f>S133+S134</f>
        <v>195200625.72</v>
      </c>
      <c r="T132" s="21">
        <f>T133+T134</f>
        <v>174995593.19999999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3436635</v>
      </c>
      <c r="L133" s="32">
        <f>IFERROR(VLOOKUP(G133,'Base Zero'!$A:$L,10,FALSE),0)</f>
        <v>343663503</v>
      </c>
      <c r="M133" s="32">
        <f>+L133-N133</f>
        <v>0</v>
      </c>
      <c r="N133" s="32">
        <f>IFERROR(VLOOKUP(G133,'Base Zero'!$A:$P,16,FALSE),0)</f>
        <v>343663503</v>
      </c>
      <c r="O133" s="32">
        <f>IFERROR(VLOOKUP(G133,'Base Execução'!A:M,6,FALSE),0)+IFERROR(VLOOKUP(G133,'Destaque Liberado pela CPRM'!A:F,6,FALSE),0)</f>
        <v>214184639.28999999</v>
      </c>
      <c r="P133" s="231">
        <f>+N133-O133</f>
        <v>129478863.71000001</v>
      </c>
      <c r="Q133" s="32"/>
      <c r="R133" s="231">
        <f>IFERROR(VLOOKUP(G133,'Base Execução'!$A:$K,7,FALSE),0)</f>
        <v>209585191</v>
      </c>
      <c r="S133" s="231">
        <f>IFERROR(VLOOKUP(G133,'Base Execução'!$A:$K,9,FALSE),0)</f>
        <v>195200625.72</v>
      </c>
      <c r="T133" s="32">
        <f>IFERROR(VLOOKUP(G133,'Base Execução'!$A:$K,11,FALSE),0)</f>
        <v>174995593.19999999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302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257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-170832</v>
      </c>
      <c r="L139" s="26">
        <f t="shared" si="63"/>
        <v>1279168</v>
      </c>
      <c r="M139" s="26">
        <f t="shared" si="63"/>
        <v>0</v>
      </c>
      <c r="N139" s="26">
        <f t="shared" si="63"/>
        <v>1279168</v>
      </c>
      <c r="O139" s="26">
        <f t="shared" si="63"/>
        <v>1201880.3700000001</v>
      </c>
      <c r="P139" s="26">
        <f t="shared" si="63"/>
        <v>77287.629999999888</v>
      </c>
      <c r="Q139" s="22">
        <f t="shared" si="63"/>
        <v>0</v>
      </c>
      <c r="R139" s="26">
        <f t="shared" si="63"/>
        <v>919103.06</v>
      </c>
      <c r="S139" s="26">
        <f t="shared" si="63"/>
        <v>653862.1</v>
      </c>
      <c r="T139" s="26">
        <f t="shared" si="63"/>
        <v>505250.25</v>
      </c>
      <c r="U139" s="156">
        <f>+IFERROR((R139/N139),0%)</f>
        <v>0.71851630122079357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318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-170832</v>
      </c>
      <c r="L141" s="32">
        <f t="shared" si="64"/>
        <v>1134168</v>
      </c>
      <c r="M141" s="32">
        <f t="shared" si="64"/>
        <v>0</v>
      </c>
      <c r="N141" s="32">
        <f t="shared" si="64"/>
        <v>1134168</v>
      </c>
      <c r="O141" s="32">
        <f t="shared" si="64"/>
        <v>1056880.3700000001</v>
      </c>
      <c r="P141" s="32">
        <f t="shared" si="64"/>
        <v>77287.629999999888</v>
      </c>
      <c r="Q141" s="32">
        <f t="shared" si="64"/>
        <v>0</v>
      </c>
      <c r="R141" s="32">
        <f t="shared" si="64"/>
        <v>774103.06</v>
      </c>
      <c r="S141" s="32">
        <f t="shared" si="64"/>
        <v>653862.1</v>
      </c>
      <c r="T141" s="32">
        <f t="shared" si="64"/>
        <v>505250.25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0</v>
      </c>
      <c r="N142" s="32">
        <f t="shared" si="65"/>
        <v>145000</v>
      </c>
      <c r="O142" s="32">
        <f t="shared" si="65"/>
        <v>145000</v>
      </c>
      <c r="P142" s="32">
        <f t="shared" si="65"/>
        <v>0</v>
      </c>
      <c r="Q142" s="32">
        <f t="shared" si="65"/>
        <v>0</v>
      </c>
      <c r="R142" s="32">
        <f t="shared" si="65"/>
        <v>145000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258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-170832</v>
      </c>
      <c r="L145" s="21">
        <f t="shared" si="66"/>
        <v>1279168</v>
      </c>
      <c r="M145" s="21">
        <f t="shared" si="66"/>
        <v>0</v>
      </c>
      <c r="N145" s="21">
        <f t="shared" si="66"/>
        <v>1279168</v>
      </c>
      <c r="O145" s="21">
        <f t="shared" si="66"/>
        <v>1201880.3700000001</v>
      </c>
      <c r="P145" s="228">
        <f t="shared" si="66"/>
        <v>77287.629999999888</v>
      </c>
      <c r="Q145" s="21">
        <f t="shared" si="66"/>
        <v>0</v>
      </c>
      <c r="R145" s="21">
        <f t="shared" si="66"/>
        <v>919103.06</v>
      </c>
      <c r="S145" s="21">
        <f t="shared" si="66"/>
        <v>653862.1</v>
      </c>
      <c r="T145" s="21">
        <f t="shared" si="66"/>
        <v>505250.25</v>
      </c>
      <c r="U145" s="154">
        <f>+IFERROR((R145/N145),0%)</f>
        <v>0.71851630122079357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-170832</v>
      </c>
      <c r="L146" s="32">
        <f>IFERROR(VLOOKUP(G146,'Base Zero'!$A:$L,10,FALSE),0)</f>
        <v>1134168</v>
      </c>
      <c r="M146" s="32">
        <f>+L146-N146</f>
        <v>0</v>
      </c>
      <c r="N146" s="32">
        <f>IFERROR(VLOOKUP(G146,'Base Zero'!$A:$P,16,FALSE),0)</f>
        <v>1134168</v>
      </c>
      <c r="O146" s="32">
        <f>IFERROR(VLOOKUP(G146,'Base Execução'!A:M,6,FALSE),0)+IFERROR(VLOOKUP(G146,'Destaque Liberado pela CPRM'!A:F,6,FALSE),0)</f>
        <v>1056880.3700000001</v>
      </c>
      <c r="P146" s="231">
        <f>+N146-O146</f>
        <v>77287.629999999888</v>
      </c>
      <c r="Q146" s="32"/>
      <c r="R146" s="231">
        <f>IFERROR(VLOOKUP(G146,'Base Execução'!$A:$K,7,FALSE),0)</f>
        <v>774103.06</v>
      </c>
      <c r="S146" s="231">
        <f>IFERROR(VLOOKUP(G146,'Base Execução'!$A:$K,9,FALSE),0)</f>
        <v>653862.1</v>
      </c>
      <c r="T146" s="32">
        <f>IFERROR(VLOOKUP(G146,'Base Execução'!$A:$K,11,FALSE),0)</f>
        <v>505250.25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0</v>
      </c>
      <c r="N147" s="32">
        <f>IFERROR(VLOOKUP(G147,'Base Zero'!$A:$P,16,FALSE),0)</f>
        <v>145000</v>
      </c>
      <c r="O147" s="32">
        <f>IFERROR(VLOOKUP(G147,'Base Execução'!A:M,6,FALSE),0)+IFERROR(VLOOKUP(G147,'Destaque Liberado pela CPRM'!A:F,6,FALSE),0)</f>
        <v>145000</v>
      </c>
      <c r="P147" s="231">
        <f>+N147-O147</f>
        <v>0</v>
      </c>
      <c r="Q147" s="32"/>
      <c r="R147" s="231">
        <f>IFERROR(VLOOKUP(G147,'Base Execução'!$A:$K,7,FALSE),0)</f>
        <v>145000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233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-2218789</v>
      </c>
      <c r="L149" s="26">
        <f t="shared" si="67"/>
        <v>16581211</v>
      </c>
      <c r="M149" s="26">
        <f t="shared" si="67"/>
        <v>0</v>
      </c>
      <c r="N149" s="26">
        <f t="shared" si="67"/>
        <v>16581211</v>
      </c>
      <c r="O149" s="26">
        <f t="shared" si="67"/>
        <v>16400168.029999999</v>
      </c>
      <c r="P149" s="230">
        <f t="shared" si="67"/>
        <v>181042.97000000053</v>
      </c>
      <c r="Q149" s="35"/>
      <c r="R149" s="230">
        <f>+R151+R152</f>
        <v>16271483.959999999</v>
      </c>
      <c r="S149" s="230">
        <f>+S151+S152</f>
        <v>789465.14</v>
      </c>
      <c r="T149" s="26">
        <f>+T151+T152</f>
        <v>706125.31</v>
      </c>
      <c r="U149" s="156">
        <f>+IFERROR((R149/N149),0%)</f>
        <v>0.98132060197533211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319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-2300000</v>
      </c>
      <c r="L151" s="32">
        <f t="shared" si="68"/>
        <v>16300000</v>
      </c>
      <c r="M151" s="32">
        <f t="shared" si="68"/>
        <v>0</v>
      </c>
      <c r="N151" s="32">
        <f t="shared" si="68"/>
        <v>16300000</v>
      </c>
      <c r="O151" s="32">
        <f t="shared" si="68"/>
        <v>16118957.969999999</v>
      </c>
      <c r="P151" s="32">
        <f t="shared" si="68"/>
        <v>181042.03000000052</v>
      </c>
      <c r="Q151" s="32">
        <f t="shared" si="68"/>
        <v>0</v>
      </c>
      <c r="R151" s="32">
        <f t="shared" si="68"/>
        <v>15990534.959999999</v>
      </c>
      <c r="S151" s="32">
        <f t="shared" si="68"/>
        <v>770473.14</v>
      </c>
      <c r="T151" s="32">
        <f t="shared" si="68"/>
        <v>706125.31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18992</v>
      </c>
      <c r="T152" s="32">
        <f t="shared" si="69"/>
        <v>0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234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181211</v>
      </c>
      <c r="L155" s="21">
        <f>SUM(L156:L157)</f>
        <v>781211</v>
      </c>
      <c r="M155" s="21">
        <f t="shared" ref="M155:T155" si="70">SUM(M156:M157)</f>
        <v>0</v>
      </c>
      <c r="N155" s="21">
        <f t="shared" si="70"/>
        <v>781211</v>
      </c>
      <c r="O155" s="21">
        <f t="shared" si="70"/>
        <v>741593.85</v>
      </c>
      <c r="P155" s="228">
        <f t="shared" si="70"/>
        <v>39617.150000000023</v>
      </c>
      <c r="Q155" s="21">
        <f t="shared" si="70"/>
        <v>0</v>
      </c>
      <c r="R155" s="21">
        <f t="shared" si="70"/>
        <v>716180.95</v>
      </c>
      <c r="S155" s="21">
        <f t="shared" si="70"/>
        <v>196650.72</v>
      </c>
      <c r="T155" s="21">
        <f t="shared" si="70"/>
        <v>126916.48</v>
      </c>
      <c r="U155" s="154">
        <f>+IFERROR((R155/N155),0%)</f>
        <v>0.91675738052843592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100000</v>
      </c>
      <c r="L156" s="32">
        <f>IFERROR(VLOOKUP(G156,'Base Zero'!$A:$L,10,FALSE),0)</f>
        <v>500000</v>
      </c>
      <c r="M156" s="32">
        <f>+L156-N156</f>
        <v>0</v>
      </c>
      <c r="N156" s="32">
        <f>IFERROR(VLOOKUP(G156,'Base Zero'!$A:$P,16,FALSE),0)</f>
        <v>500000</v>
      </c>
      <c r="O156" s="32">
        <f>IFERROR(VLOOKUP(G156,'Base Execução'!A:M,6,FALSE),0)+IFERROR(VLOOKUP(G156,'Destaque Liberado pela CPRM'!A:F,6,FALSE),0)</f>
        <v>460383.79</v>
      </c>
      <c r="P156" s="231">
        <f>+N156-O156</f>
        <v>39616.210000000021</v>
      </c>
      <c r="Q156" s="33"/>
      <c r="R156" s="231">
        <f>IFERROR(VLOOKUP(G156,'Base Execução'!$A:$K,7,FALSE),0)</f>
        <v>435231.95</v>
      </c>
      <c r="S156" s="231">
        <f>IFERROR(VLOOKUP(G156,'Base Execução'!$A:$K,9,FALSE),0)</f>
        <v>177658.72</v>
      </c>
      <c r="T156" s="32">
        <f>IFERROR(VLOOKUP(G156,'Base Execução'!$A:$K,11,FALSE),0)</f>
        <v>126916.48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18992</v>
      </c>
      <c r="T157" s="32">
        <f>IFERROR(VLOOKUP(G157,'Base Execução'!$A:$K,11,FALSE),0)</f>
        <v>0</v>
      </c>
      <c r="U157" s="298"/>
      <c r="V157" s="366"/>
    </row>
    <row r="158" spans="1:33" ht="15" customHeight="1" x14ac:dyDescent="0.2">
      <c r="A158" s="276"/>
      <c r="B158" s="424" t="s">
        <v>235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0</v>
      </c>
      <c r="T159" s="21">
        <f t="shared" si="71"/>
        <v>0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0</v>
      </c>
      <c r="T160" s="32">
        <f>IFERROR(VLOOKUP(G160,'Base Execução'!$A:$K,11,FALSE),0)</f>
        <v>0</v>
      </c>
      <c r="U160" s="155"/>
      <c r="V160" s="366"/>
    </row>
    <row r="161" spans="1:22" ht="15" customHeight="1" x14ac:dyDescent="0.2">
      <c r="A161" s="276"/>
      <c r="B161" s="424" t="s">
        <v>236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237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298046.99</v>
      </c>
      <c r="P165" s="228">
        <f t="shared" si="73"/>
        <v>1953.0100000000093</v>
      </c>
      <c r="Q165" s="21">
        <f t="shared" si="73"/>
        <v>0</v>
      </c>
      <c r="R165" s="21">
        <f t="shared" si="73"/>
        <v>298046.99</v>
      </c>
      <c r="S165" s="21">
        <f t="shared" si="73"/>
        <v>25487.16</v>
      </c>
      <c r="T165" s="21">
        <f t="shared" si="73"/>
        <v>25487.16</v>
      </c>
      <c r="U165" s="154">
        <f>+IFERROR((R165/N165),0%)</f>
        <v>0.99348996666666667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298046.99</v>
      </c>
      <c r="P166" s="231">
        <f>+N166-O166</f>
        <v>1953.0100000000093</v>
      </c>
      <c r="Q166" s="33"/>
      <c r="R166" s="231">
        <f>IFERROR(VLOOKUP(G166,'Base Execução'!$A:$K,7,FALSE),0)</f>
        <v>298046.99</v>
      </c>
      <c r="S166" s="231">
        <f>IFERROR(VLOOKUP(G166,'Base Execução'!$A:$K,9,FALSE),0)</f>
        <v>25487.16</v>
      </c>
      <c r="T166" s="32">
        <f>IFERROR(VLOOKUP(G166,'Base Execução'!$A:$K,11,FALSE),0)</f>
        <v>25487.16</v>
      </c>
      <c r="U166" s="280"/>
      <c r="V166" s="366"/>
    </row>
    <row r="167" spans="1:22" ht="15" customHeight="1" x14ac:dyDescent="0.2">
      <c r="A167" s="276"/>
      <c r="B167" s="424" t="s">
        <v>238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-1100000</v>
      </c>
      <c r="L168" s="21">
        <f>L169</f>
        <v>14900000</v>
      </c>
      <c r="M168" s="21">
        <f t="shared" si="74"/>
        <v>0</v>
      </c>
      <c r="N168" s="21">
        <f t="shared" si="74"/>
        <v>14900000</v>
      </c>
      <c r="O168" s="21">
        <f t="shared" si="74"/>
        <v>14899999.689999999</v>
      </c>
      <c r="P168" s="228">
        <f t="shared" si="74"/>
        <v>0.31000000052154064</v>
      </c>
      <c r="Q168" s="21">
        <f t="shared" si="74"/>
        <v>0</v>
      </c>
      <c r="R168" s="21">
        <f t="shared" si="74"/>
        <v>14899999.689999999</v>
      </c>
      <c r="S168" s="21">
        <f t="shared" si="74"/>
        <v>460159.26</v>
      </c>
      <c r="T168" s="21">
        <f t="shared" si="74"/>
        <v>450593.13</v>
      </c>
      <c r="U168" s="154">
        <f>+IFERROR((R168/N168),0%)</f>
        <v>0.99999997919463079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-1100000</v>
      </c>
      <c r="L169" s="32">
        <f>IFERROR(VLOOKUP(G169,'Base Zero'!$A:$L,10,FALSE),0)</f>
        <v>14900000</v>
      </c>
      <c r="M169" s="32">
        <f>+L169-N169</f>
        <v>0</v>
      </c>
      <c r="N169" s="32">
        <f>IFERROR(VLOOKUP(G169,'Base Zero'!$A:$P,16,FALSE),0)</f>
        <v>14900000</v>
      </c>
      <c r="O169" s="32">
        <f>IFERROR(VLOOKUP(G169,'Base Execução'!A:M,6,FALSE),0)+IFERROR(VLOOKUP(G169,'Destaque Liberado pela CPRM'!A:F,6,FALSE),0)</f>
        <v>14899999.689999999</v>
      </c>
      <c r="P169" s="231">
        <f>+N169-O169</f>
        <v>0.31000000052154064</v>
      </c>
      <c r="Q169" s="33"/>
      <c r="R169" s="231">
        <f>IFERROR(VLOOKUP(G169,'Base Execução'!$A:$K,7,FALSE),0)</f>
        <v>14899999.689999999</v>
      </c>
      <c r="S169" s="231">
        <f>IFERROR(VLOOKUP(G169,'Base Execução'!$A:$K,9,FALSE),0)</f>
        <v>460159.26</v>
      </c>
      <c r="T169" s="32">
        <f>IFERROR(VLOOKUP(G169,'Base Execução'!$A:$K,11,FALSE),0)</f>
        <v>450593.13</v>
      </c>
      <c r="U169" s="280"/>
      <c r="V169" s="366"/>
    </row>
    <row r="170" spans="1:22" ht="15" customHeight="1" x14ac:dyDescent="0.2">
      <c r="A170" s="276"/>
      <c r="B170" s="424" t="s">
        <v>239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240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241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242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265516.02</v>
      </c>
      <c r="P180" s="228">
        <f t="shared" si="78"/>
        <v>134483.97999999998</v>
      </c>
      <c r="Q180" s="21">
        <f t="shared" si="78"/>
        <v>0</v>
      </c>
      <c r="R180" s="21">
        <f t="shared" si="78"/>
        <v>162244.85</v>
      </c>
      <c r="S180" s="21">
        <f t="shared" si="78"/>
        <v>107168</v>
      </c>
      <c r="T180" s="21">
        <f t="shared" si="78"/>
        <v>103128.54</v>
      </c>
      <c r="U180" s="154">
        <f>+IFERROR((R180/N180),0%)</f>
        <v>0.40561212499999999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265516.02</v>
      </c>
      <c r="P181" s="231">
        <f>+N181-O181</f>
        <v>134483.97999999998</v>
      </c>
      <c r="Q181" s="35"/>
      <c r="R181" s="231">
        <f>IFERROR(VLOOKUP(G181,'Base Execução'!$A:$K,7,FALSE),0)</f>
        <v>162244.85</v>
      </c>
      <c r="S181" s="231">
        <f>IFERROR(VLOOKUP(G181,'Base Execução'!$A:$K,9,FALSE),0)</f>
        <v>107168</v>
      </c>
      <c r="T181" s="32">
        <f>IFERROR(VLOOKUP(G181,'Base Execução'!$A:$K,11,FALSE),0)</f>
        <v>103128.54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259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-589075</v>
      </c>
      <c r="L183" s="26">
        <f t="shared" si="79"/>
        <v>4410925</v>
      </c>
      <c r="M183" s="26">
        <f t="shared" si="79"/>
        <v>0</v>
      </c>
      <c r="N183" s="26">
        <f t="shared" si="79"/>
        <v>4410925</v>
      </c>
      <c r="O183" s="26">
        <f t="shared" si="79"/>
        <v>3692694.96</v>
      </c>
      <c r="P183" s="26">
        <f t="shared" si="79"/>
        <v>718230.03999999992</v>
      </c>
      <c r="Q183" s="35">
        <f>SUM(Q185:Q187)</f>
        <v>0</v>
      </c>
      <c r="R183" s="26">
        <f t="shared" si="79"/>
        <v>3452507.95</v>
      </c>
      <c r="S183" s="26">
        <f t="shared" si="79"/>
        <v>1149311.3600000001</v>
      </c>
      <c r="T183" s="26">
        <f t="shared" si="79"/>
        <v>1097055.7</v>
      </c>
      <c r="U183" s="156">
        <f>+IFERROR((R183/N183),0%)</f>
        <v>0.7827174458872006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320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-350000</v>
      </c>
      <c r="L185" s="32">
        <f t="shared" si="80"/>
        <v>2350000</v>
      </c>
      <c r="M185" s="32">
        <f t="shared" si="80"/>
        <v>0</v>
      </c>
      <c r="N185" s="32">
        <f t="shared" si="80"/>
        <v>2350000</v>
      </c>
      <c r="O185" s="32">
        <f t="shared" si="80"/>
        <v>2234672.19</v>
      </c>
      <c r="P185" s="32">
        <f t="shared" si="80"/>
        <v>115327.80999999994</v>
      </c>
      <c r="Q185" s="32">
        <f t="shared" si="80"/>
        <v>0</v>
      </c>
      <c r="R185" s="32">
        <f t="shared" si="80"/>
        <v>2087069.67</v>
      </c>
      <c r="S185" s="32">
        <f t="shared" si="80"/>
        <v>855092.17</v>
      </c>
      <c r="T185" s="32">
        <f t="shared" si="80"/>
        <v>813264.05999999994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1101210</v>
      </c>
      <c r="P186" s="32">
        <f t="shared" si="81"/>
        <v>159715</v>
      </c>
      <c r="Q186" s="32">
        <f t="shared" ref="Q186" si="82">Q193</f>
        <v>0</v>
      </c>
      <c r="R186" s="32">
        <f t="shared" si="81"/>
        <v>1068895.8900000001</v>
      </c>
      <c r="S186" s="32">
        <f t="shared" si="81"/>
        <v>0</v>
      </c>
      <c r="T186" s="32">
        <f t="shared" si="81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356812.77</v>
      </c>
      <c r="P187" s="32">
        <f t="shared" si="83"/>
        <v>443187.23</v>
      </c>
      <c r="Q187" s="32">
        <f t="shared" ref="Q187" si="84">Q194</f>
        <v>0</v>
      </c>
      <c r="R187" s="32">
        <f t="shared" si="83"/>
        <v>296542.39</v>
      </c>
      <c r="S187" s="32">
        <f t="shared" si="83"/>
        <v>294219.19</v>
      </c>
      <c r="T187" s="32">
        <f t="shared" si="83"/>
        <v>283791.64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260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130963.13</v>
      </c>
      <c r="P191" s="21">
        <f t="shared" si="86"/>
        <v>69036.87</v>
      </c>
      <c r="Q191" s="21">
        <f>SUM(Q192:Q194)</f>
        <v>0</v>
      </c>
      <c r="R191" s="21">
        <f>SUM(R192:R195)</f>
        <v>130734.66</v>
      </c>
      <c r="S191" s="21">
        <f>SUM(S192:S195)</f>
        <v>103676.39</v>
      </c>
      <c r="T191" s="21">
        <f>SUM(T192:T195)</f>
        <v>100827.2</v>
      </c>
      <c r="U191" s="154">
        <f>+IFERROR((R191/N191),0%)</f>
        <v>0.65367330000000001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130963.13</v>
      </c>
      <c r="P192" s="231">
        <f>+N192-O192</f>
        <v>69036.87</v>
      </c>
      <c r="Q192" s="296"/>
      <c r="R192" s="231">
        <f>IFERROR(VLOOKUP(G192,'Base Execução'!$A:$K,7,FALSE),0)</f>
        <v>130734.66</v>
      </c>
      <c r="S192" s="231">
        <f>IFERROR(VLOOKUP(G192,'Base Execução'!$A:$K,9,FALSE),0)</f>
        <v>103676.39</v>
      </c>
      <c r="T192" s="32">
        <f>IFERROR(VLOOKUP(G192,'Base Execução'!$A:$K,11,FALSE),0)</f>
        <v>100827.2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261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-944075</v>
      </c>
      <c r="L197" s="21">
        <f t="shared" si="87"/>
        <v>2255925</v>
      </c>
      <c r="M197" s="21">
        <f t="shared" si="87"/>
        <v>0</v>
      </c>
      <c r="N197" s="21">
        <f t="shared" si="87"/>
        <v>2255925</v>
      </c>
      <c r="O197" s="21">
        <f t="shared" si="87"/>
        <v>2168197.31</v>
      </c>
      <c r="P197" s="21">
        <f t="shared" si="87"/>
        <v>87727.689999999944</v>
      </c>
      <c r="Q197" s="21">
        <f t="shared" ref="Q197" si="88">Q198</f>
        <v>0</v>
      </c>
      <c r="R197" s="21">
        <f t="shared" ref="R197" si="89">SUM(R198:R199)</f>
        <v>2059975.9100000001</v>
      </c>
      <c r="S197" s="21">
        <f t="shared" ref="S197" si="90">SUM(S198:S199)</f>
        <v>618243.14</v>
      </c>
      <c r="T197" s="21">
        <f t="shared" ref="T197" si="91">SUM(T198:T199)</f>
        <v>590641.59</v>
      </c>
      <c r="U197" s="154">
        <f>+IFERROR((R197/N197),0%)</f>
        <v>0.91314024624045576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-305000</v>
      </c>
      <c r="L198" s="232">
        <f>IFERROR(VLOOKUP(G198,'Base Zero'!$A:$L,10,FALSE),0)</f>
        <v>1495000</v>
      </c>
      <c r="M198" s="232">
        <f>+L198-N198</f>
        <v>0</v>
      </c>
      <c r="N198" s="32">
        <f>IFERROR(VLOOKUP(G198,'Base Zero'!$A:$P,16,FALSE),0)</f>
        <v>1495000</v>
      </c>
      <c r="O198" s="32">
        <f>IFERROR(VLOOKUP(G198,'Base Execução'!A:M,6,FALSE),0)+IFERROR(VLOOKUP(G198,'Destaque Liberado pela CPRM'!A:F,6,FALSE),0)</f>
        <v>1493393.31</v>
      </c>
      <c r="P198" s="231">
        <f>+N198-O198</f>
        <v>1606.6899999999441</v>
      </c>
      <c r="Q198" s="296"/>
      <c r="R198" s="231">
        <f>IFERROR(VLOOKUP(G198,'Base Execução'!$A:$K,7,FALSE),0)</f>
        <v>1391080.02</v>
      </c>
      <c r="S198" s="231">
        <f>IFERROR(VLOOKUP(G198,'Base Execução'!$A:$K,9,FALSE),0)</f>
        <v>618243.14</v>
      </c>
      <c r="T198" s="32">
        <f>IFERROR(VLOOKUP(G198,'Base Execução'!$A:$K,11,FALSE),0)</f>
        <v>590641.59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674804</v>
      </c>
      <c r="P199" s="231">
        <f>+N199-O199</f>
        <v>86121</v>
      </c>
      <c r="Q199" s="296"/>
      <c r="R199" s="231">
        <f>IFERROR(VLOOKUP(G199,'Base Execução'!$A:$K,7,FALSE),0)</f>
        <v>668895.89</v>
      </c>
      <c r="S199" s="231">
        <f>IFERROR(VLOOKUP(G199,'Base Execução'!$A:$K,9,FALSE),0)</f>
        <v>0</v>
      </c>
      <c r="T199" s="32">
        <f>IFERROR(VLOOKUP(G199,'Base Execução'!$A:$K,11,FALSE),0)</f>
        <v>0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262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1036721.75</v>
      </c>
      <c r="P201" s="21">
        <f t="shared" si="92"/>
        <v>118278.25</v>
      </c>
      <c r="Q201" s="21">
        <f t="shared" ref="Q201" si="93">Q202</f>
        <v>0</v>
      </c>
      <c r="R201" s="21">
        <f t="shared" ref="R201" si="94">SUM(R202:R203)</f>
        <v>965254.99</v>
      </c>
      <c r="S201" s="21">
        <f t="shared" ref="S201" si="95">SUM(S202:S203)</f>
        <v>133172.64000000001</v>
      </c>
      <c r="T201" s="21">
        <f t="shared" ref="T201" si="96">SUM(T202:T203)</f>
        <v>121795.27</v>
      </c>
      <c r="U201" s="154">
        <f>+IFERROR((R201/N201),0%)</f>
        <v>0.83571860606060611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610315.75</v>
      </c>
      <c r="P202" s="231">
        <f>+N202-O202</f>
        <v>44684.25</v>
      </c>
      <c r="Q202" s="33"/>
      <c r="R202" s="231">
        <f>IFERROR(VLOOKUP(G202,'Base Execução'!$A:$K,7,FALSE),0)</f>
        <v>565254.99</v>
      </c>
      <c r="S202" s="231">
        <f>IFERROR(VLOOKUP(G202,'Base Execução'!$A:$K,9,FALSE),0)</f>
        <v>133172.64000000001</v>
      </c>
      <c r="T202" s="32">
        <f>IFERROR(VLOOKUP(G202,'Base Execução'!$A:$K,11,FALSE),0)</f>
        <v>121795.27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400000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353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354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356812.77</v>
      </c>
      <c r="P205" s="228">
        <f t="shared" si="97"/>
        <v>443187.23</v>
      </c>
      <c r="Q205" s="21">
        <f t="shared" si="97"/>
        <v>0</v>
      </c>
      <c r="R205" s="21">
        <f t="shared" si="97"/>
        <v>296542.39</v>
      </c>
      <c r="S205" s="21">
        <f t="shared" si="97"/>
        <v>294219.19</v>
      </c>
      <c r="T205" s="32"/>
      <c r="U205" s="154">
        <f>+IFERROR((R205/N205),0%)</f>
        <v>0.37067798750000003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356812.77</v>
      </c>
      <c r="P206" s="231">
        <f>+N206-O206</f>
        <v>443187.23</v>
      </c>
      <c r="Q206" s="33"/>
      <c r="R206" s="231">
        <f>IFERROR(VLOOKUP(G206,'Base Execução'!$A:$K,7,FALSE),0)</f>
        <v>296542.39</v>
      </c>
      <c r="S206" s="231">
        <f>IFERROR(VLOOKUP(G206,'Base Execução'!$A:$K,9,FALSE),0)</f>
        <v>294219.19</v>
      </c>
      <c r="T206" s="32">
        <f>IFERROR(VLOOKUP(G206,'Base Execução'!$A:$K,11,FALSE),0)</f>
        <v>283791.64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263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0</v>
      </c>
      <c r="N208" s="26">
        <f t="shared" si="98"/>
        <v>4400000</v>
      </c>
      <c r="O208" s="26">
        <f t="shared" si="98"/>
        <v>4368529.28</v>
      </c>
      <c r="P208" s="26">
        <f t="shared" si="98"/>
        <v>31470.720000000147</v>
      </c>
      <c r="Q208" s="22">
        <f>Q210</f>
        <v>0</v>
      </c>
      <c r="R208" s="26">
        <f t="shared" si="98"/>
        <v>4169256.29</v>
      </c>
      <c r="S208" s="26">
        <f t="shared" si="98"/>
        <v>1817285.81</v>
      </c>
      <c r="T208" s="26">
        <f t="shared" si="98"/>
        <v>1494093.76</v>
      </c>
      <c r="U208" s="156">
        <f>+IFERROR((R208/N208),0%)</f>
        <v>0.94755824772727271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321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0</v>
      </c>
      <c r="N210" s="31">
        <f t="shared" si="99"/>
        <v>3400000</v>
      </c>
      <c r="O210" s="31">
        <f t="shared" si="99"/>
        <v>3388560.66</v>
      </c>
      <c r="P210" s="31">
        <f t="shared" si="99"/>
        <v>11439.340000000142</v>
      </c>
      <c r="Q210" s="31">
        <f t="shared" si="99"/>
        <v>0</v>
      </c>
      <c r="R210" s="31">
        <f t="shared" si="99"/>
        <v>3201327.29</v>
      </c>
      <c r="S210" s="31">
        <f t="shared" si="99"/>
        <v>1354306.81</v>
      </c>
      <c r="T210" s="31">
        <f t="shared" si="99"/>
        <v>1232136.76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979968.62</v>
      </c>
      <c r="P211" s="31">
        <f t="shared" si="100"/>
        <v>20031.380000000005</v>
      </c>
      <c r="Q211" s="31"/>
      <c r="R211" s="31">
        <f t="shared" si="100"/>
        <v>967929</v>
      </c>
      <c r="S211" s="31">
        <f t="shared" si="100"/>
        <v>462979</v>
      </c>
      <c r="T211" s="31">
        <f t="shared" si="100"/>
        <v>261957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265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1979968.62</v>
      </c>
      <c r="P214" s="229">
        <f t="shared" si="101"/>
        <v>20031.380000000005</v>
      </c>
      <c r="Q214" s="22">
        <f>Q215</f>
        <v>0</v>
      </c>
      <c r="R214" s="22">
        <f>R215+R216</f>
        <v>1957652.31</v>
      </c>
      <c r="S214" s="22">
        <f>S215+S216</f>
        <v>781137.81</v>
      </c>
      <c r="T214" s="22">
        <f>T215+T216</f>
        <v>517701.39</v>
      </c>
      <c r="U214" s="154">
        <f>+IFERROR((R214/N214),0%)</f>
        <v>0.97882615500000003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1000000</v>
      </c>
      <c r="P215" s="232">
        <f>+N215-O215</f>
        <v>0</v>
      </c>
      <c r="Q215" s="31"/>
      <c r="R215" s="231">
        <f>IFERROR(VLOOKUP(G215,'Base Execução'!$A:$K,7,FALSE),0)</f>
        <v>989723.31</v>
      </c>
      <c r="S215" s="231">
        <f>IFERROR(VLOOKUP(G215,'Base Execução'!$A:$K,9,FALSE),0)</f>
        <v>318158.81</v>
      </c>
      <c r="T215" s="32">
        <f>IFERROR(VLOOKUP(G215,'Base Execução'!$A:$K,11,FALSE),0)</f>
        <v>255744.39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979968.62</v>
      </c>
      <c r="P216" s="232">
        <f>+N216-O216</f>
        <v>20031.380000000005</v>
      </c>
      <c r="Q216" s="31"/>
      <c r="R216" s="231">
        <f>IFERROR(VLOOKUP(G216,'Base Execução'!$A:$K,7,FALSE),0)</f>
        <v>967929</v>
      </c>
      <c r="S216" s="231">
        <f>IFERROR(VLOOKUP(G216,'Base Execução'!$A:$K,9,FALSE),0)</f>
        <v>462979</v>
      </c>
      <c r="T216" s="32">
        <f>IFERROR(VLOOKUP(G216,'Base Execução'!$A:$K,11,FALSE),0)</f>
        <v>261957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264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-50000</v>
      </c>
      <c r="L218" s="22">
        <f t="shared" si="102"/>
        <v>250000</v>
      </c>
      <c r="M218" s="22">
        <f t="shared" si="102"/>
        <v>0</v>
      </c>
      <c r="N218" s="22">
        <f t="shared" si="102"/>
        <v>250000</v>
      </c>
      <c r="O218" s="22">
        <f t="shared" si="102"/>
        <v>243661.07</v>
      </c>
      <c r="P218" s="229">
        <f t="shared" si="102"/>
        <v>6338.929999999993</v>
      </c>
      <c r="Q218" s="22">
        <f t="shared" si="102"/>
        <v>0</v>
      </c>
      <c r="R218" s="22">
        <f t="shared" si="102"/>
        <v>242443.31</v>
      </c>
      <c r="S218" s="22">
        <f t="shared" si="102"/>
        <v>12443.31</v>
      </c>
      <c r="T218" s="22">
        <f t="shared" si="102"/>
        <v>8015.73</v>
      </c>
      <c r="U218" s="154">
        <f>+IFERROR((R218/N218),0%)</f>
        <v>0.96977323999999998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-50000</v>
      </c>
      <c r="L219" s="31">
        <f>IFERROR(VLOOKUP(G219,'Base Zero'!$A:$L,10,FALSE),0)</f>
        <v>250000</v>
      </c>
      <c r="M219" s="31">
        <f>+L219-N219</f>
        <v>0</v>
      </c>
      <c r="N219" s="32">
        <f>IFERROR(VLOOKUP(G219,'Base Zero'!$A:$P,16,FALSE),0)</f>
        <v>250000</v>
      </c>
      <c r="O219" s="32">
        <f>IFERROR(VLOOKUP(G219,'Base Execução'!A:M,6,FALSE),0)+IFERROR(VLOOKUP(G219,'Destaque Liberado pela CPRM'!A:F,6,FALSE),0)</f>
        <v>243661.07</v>
      </c>
      <c r="P219" s="232">
        <f>+N219-O219</f>
        <v>6338.929999999993</v>
      </c>
      <c r="Q219" s="31"/>
      <c r="R219" s="231">
        <f>IFERROR(VLOOKUP(G219,'Base Execução'!$A:$K,7,FALSE),0)</f>
        <v>242443.31</v>
      </c>
      <c r="S219" s="231">
        <f>IFERROR(VLOOKUP(G219,'Base Execução'!$A:$K,9,FALSE),0)</f>
        <v>12443.31</v>
      </c>
      <c r="T219" s="32">
        <f>IFERROR(VLOOKUP(G219,'Base Execução'!$A:$K,11,FALSE),0)</f>
        <v>8015.73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266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-1250000</v>
      </c>
      <c r="L221" s="22">
        <f t="shared" si="103"/>
        <v>2150000</v>
      </c>
      <c r="M221" s="22">
        <f t="shared" si="103"/>
        <v>0</v>
      </c>
      <c r="N221" s="22">
        <f t="shared" si="103"/>
        <v>2150000</v>
      </c>
      <c r="O221" s="22">
        <f t="shared" si="103"/>
        <v>2144899.59</v>
      </c>
      <c r="P221" s="229">
        <f t="shared" si="103"/>
        <v>5100.410000000149</v>
      </c>
      <c r="Q221" s="22">
        <f t="shared" si="103"/>
        <v>0</v>
      </c>
      <c r="R221" s="22">
        <f t="shared" si="103"/>
        <v>1969160.67</v>
      </c>
      <c r="S221" s="22">
        <f t="shared" si="103"/>
        <v>1023704.69</v>
      </c>
      <c r="T221" s="22">
        <f t="shared" si="103"/>
        <v>968376.64</v>
      </c>
      <c r="U221" s="154">
        <f>+IFERROR((R221/N221),0%)</f>
        <v>0.91588868372093024</v>
      </c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-1250000</v>
      </c>
      <c r="L222" s="31">
        <f>IFERROR(VLOOKUP(G222,'Base Zero'!$A:$L,10,FALSE),0)</f>
        <v>2150000</v>
      </c>
      <c r="M222" s="31">
        <f>+L222-N222</f>
        <v>0</v>
      </c>
      <c r="N222" s="32">
        <f>IFERROR(VLOOKUP(G222,'Base Zero'!$A:$P,16,FALSE),0)</f>
        <v>2150000</v>
      </c>
      <c r="O222" s="32">
        <f>IFERROR(VLOOKUP(G222,'Base Execução'!A:M,6,FALSE),0)+IFERROR(VLOOKUP(G222,'Destaque Liberado pela CPRM'!A:F,6,FALSE),0)</f>
        <v>2144899.59</v>
      </c>
      <c r="P222" s="232">
        <f>+N222-O222</f>
        <v>5100.410000000149</v>
      </c>
      <c r="Q222" s="31"/>
      <c r="R222" s="231">
        <f>IFERROR(VLOOKUP(G222,'Base Execução'!$A:$K,7,FALSE),0)</f>
        <v>1969160.67</v>
      </c>
      <c r="S222" s="231">
        <f>IFERROR(VLOOKUP(G222,'Base Execução'!$A:$K,9,FALSE),0)</f>
        <v>1023704.69</v>
      </c>
      <c r="T222" s="32">
        <f>IFERROR(VLOOKUP(G222,'Base Execução'!$A:$K,11,FALSE),0)</f>
        <v>968376.64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267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2350564.38</v>
      </c>
      <c r="P224" s="21">
        <f t="shared" si="104"/>
        <v>295990.62</v>
      </c>
      <c r="Q224" s="22">
        <f t="shared" si="104"/>
        <v>0</v>
      </c>
      <c r="R224" s="21">
        <f t="shared" si="104"/>
        <v>2349614.56</v>
      </c>
      <c r="S224" s="21">
        <f t="shared" si="104"/>
        <v>820331.73</v>
      </c>
      <c r="T224" s="21">
        <f t="shared" si="104"/>
        <v>788367.52</v>
      </c>
      <c r="U224" s="156">
        <f>+IFERROR((R224/N224),0%)</f>
        <v>0.88780114526242604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322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2137848.38</v>
      </c>
      <c r="P227" s="32">
        <f t="shared" si="106"/>
        <v>62151.619999999995</v>
      </c>
      <c r="Q227" s="32">
        <f t="shared" si="106"/>
        <v>0</v>
      </c>
      <c r="R227" s="32">
        <f t="shared" si="106"/>
        <v>2136898.5600000001</v>
      </c>
      <c r="S227" s="32">
        <f t="shared" si="106"/>
        <v>820331.73</v>
      </c>
      <c r="T227" s="32">
        <f t="shared" si="106"/>
        <v>788367.52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212716</v>
      </c>
      <c r="P228" s="32">
        <f t="shared" si="107"/>
        <v>233839</v>
      </c>
      <c r="Q228" s="32">
        <f>Q236+Q243</f>
        <v>0</v>
      </c>
      <c r="R228" s="32">
        <f t="shared" si="107"/>
        <v>212716</v>
      </c>
      <c r="S228" s="32">
        <f t="shared" si="107"/>
        <v>0</v>
      </c>
      <c r="T228" s="32">
        <f t="shared" si="107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268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137848.38</v>
      </c>
      <c r="P233" s="228">
        <f t="shared" si="110"/>
        <v>62151.619999999995</v>
      </c>
      <c r="Q233" s="21">
        <f t="shared" si="110"/>
        <v>0</v>
      </c>
      <c r="R233" s="21">
        <f t="shared" si="110"/>
        <v>136898.85999999999</v>
      </c>
      <c r="S233" s="21">
        <f t="shared" si="110"/>
        <v>132217.54999999999</v>
      </c>
      <c r="T233" s="21">
        <f t="shared" si="110"/>
        <v>122292.31</v>
      </c>
      <c r="U233" s="154">
        <f>+IFERROR((R233/N233),0%)</f>
        <v>0.68449429999999989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137848.38</v>
      </c>
      <c r="P234" s="231">
        <f>+N234-O234</f>
        <v>62151.619999999995</v>
      </c>
      <c r="Q234" s="32"/>
      <c r="R234" s="231">
        <f>IFERROR(VLOOKUP(G234,'Base Execução'!$A:$K,7,FALSE),0)</f>
        <v>136898.85999999999</v>
      </c>
      <c r="S234" s="231">
        <f>IFERROR(VLOOKUP(G234,'Base Execução'!$A:$K,9,FALSE),0)</f>
        <v>132217.54999999999</v>
      </c>
      <c r="T234" s="32">
        <f>IFERROR(VLOOKUP(G234,'Base Execução'!$A:$K,11,FALSE),0)</f>
        <v>122292.31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269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1791716</v>
      </c>
      <c r="P236" s="21">
        <f>SUM(P237:P240)</f>
        <v>233839</v>
      </c>
      <c r="Q236" s="21">
        <f>SUM(Q237:Q239)</f>
        <v>0</v>
      </c>
      <c r="R236" s="21">
        <f>SUM(R237:R240)</f>
        <v>1791715.7</v>
      </c>
      <c r="S236" s="21">
        <f>SUM(S237:S240)</f>
        <v>688114.18</v>
      </c>
      <c r="T236" s="21">
        <f>SUM(T237:T240)</f>
        <v>666075.21</v>
      </c>
      <c r="U236" s="154">
        <f>+IFERROR((R236/N236),0%)</f>
        <v>0.88455544282924925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1579000</v>
      </c>
      <c r="P238" s="231">
        <f>+N238-O238</f>
        <v>0</v>
      </c>
      <c r="Q238" s="33"/>
      <c r="R238" s="231">
        <f>IFERROR(VLOOKUP(G238,'Base Execução'!$A:$K,7,FALSE),0)</f>
        <v>1578999.7</v>
      </c>
      <c r="S238" s="231">
        <f>IFERROR(VLOOKUP(G238,'Base Execução'!$A:$K,9,FALSE),0)</f>
        <v>688114.18</v>
      </c>
      <c r="T238" s="32">
        <f>IFERROR(VLOOKUP(G238,'Base Execução'!$A:$K,11,FALSE),0)</f>
        <v>666075.21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212716</v>
      </c>
      <c r="P239" s="231">
        <f>+N239-O239</f>
        <v>233839</v>
      </c>
      <c r="Q239" s="32"/>
      <c r="R239" s="231">
        <f>IFERROR(VLOOKUP(G239,'Base Execução'!$A:$K,7,FALSE),0)</f>
        <v>212716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306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270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421000</v>
      </c>
      <c r="S244" s="21">
        <f t="shared" si="113"/>
        <v>0</v>
      </c>
      <c r="T244" s="21">
        <f t="shared" si="113"/>
        <v>0</v>
      </c>
      <c r="U244" s="154">
        <f>+IFERROR((R244/N244),0%)</f>
        <v>1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421000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271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323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272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-1178149</v>
      </c>
      <c r="L257" s="21">
        <f t="shared" si="117"/>
        <v>8821851</v>
      </c>
      <c r="M257" s="21">
        <f t="shared" si="117"/>
        <v>0</v>
      </c>
      <c r="N257" s="21">
        <f t="shared" si="117"/>
        <v>8821851</v>
      </c>
      <c r="O257" s="21">
        <f t="shared" si="117"/>
        <v>8750137.9600000009</v>
      </c>
      <c r="P257" s="21">
        <f t="shared" si="117"/>
        <v>71713.039999999979</v>
      </c>
      <c r="Q257" s="22">
        <f t="shared" si="117"/>
        <v>0</v>
      </c>
      <c r="R257" s="21">
        <f t="shared" si="117"/>
        <v>7675551.8499999996</v>
      </c>
      <c r="S257" s="21">
        <f t="shared" si="117"/>
        <v>3898753.66</v>
      </c>
      <c r="T257" s="21">
        <f t="shared" si="117"/>
        <v>3443912.6</v>
      </c>
      <c r="U257" s="156">
        <f>+IFERROR((R257/N257),0%)</f>
        <v>0.87006137940892447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324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-1178149</v>
      </c>
      <c r="L259" s="32">
        <f t="shared" si="118"/>
        <v>7821851</v>
      </c>
      <c r="M259" s="32">
        <f t="shared" si="118"/>
        <v>0</v>
      </c>
      <c r="N259" s="32">
        <f t="shared" si="118"/>
        <v>7821851</v>
      </c>
      <c r="O259" s="32">
        <f t="shared" si="118"/>
        <v>7794794.5200000005</v>
      </c>
      <c r="P259" s="32">
        <f t="shared" si="118"/>
        <v>27056.479999999923</v>
      </c>
      <c r="Q259" s="32">
        <f t="shared" ref="Q259" si="119">Q265+Q269+Q273+Q276</f>
        <v>0</v>
      </c>
      <c r="R259" s="32">
        <f t="shared" si="118"/>
        <v>6720208.4100000001</v>
      </c>
      <c r="S259" s="32">
        <f t="shared" si="118"/>
        <v>3642287.66</v>
      </c>
      <c r="T259" s="32">
        <f t="shared" si="118"/>
        <v>3223432.6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0</v>
      </c>
      <c r="N260" s="32">
        <f t="shared" si="120"/>
        <v>1000000</v>
      </c>
      <c r="O260" s="32">
        <f t="shared" si="120"/>
        <v>955343.44</v>
      </c>
      <c r="P260" s="32">
        <f t="shared" si="120"/>
        <v>44656.560000000056</v>
      </c>
      <c r="Q260" s="32">
        <f t="shared" si="120"/>
        <v>0</v>
      </c>
      <c r="R260" s="32">
        <f t="shared" si="120"/>
        <v>955343.44</v>
      </c>
      <c r="S260" s="32">
        <f t="shared" si="120"/>
        <v>256466</v>
      </c>
      <c r="T260" s="32">
        <f t="shared" si="120"/>
        <v>220480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273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239000</v>
      </c>
      <c r="L264" s="22">
        <f t="shared" si="122"/>
        <v>3238999</v>
      </c>
      <c r="M264" s="22">
        <f t="shared" si="122"/>
        <v>0</v>
      </c>
      <c r="N264" s="22">
        <f t="shared" si="122"/>
        <v>3238999</v>
      </c>
      <c r="O264" s="22">
        <f t="shared" si="122"/>
        <v>3182714.79</v>
      </c>
      <c r="P264" s="22">
        <f t="shared" si="122"/>
        <v>56284.209999999963</v>
      </c>
      <c r="Q264" s="22">
        <f t="shared" si="122"/>
        <v>0</v>
      </c>
      <c r="R264" s="22">
        <f t="shared" si="122"/>
        <v>3008274.23</v>
      </c>
      <c r="S264" s="22">
        <f t="shared" si="122"/>
        <v>1476027.84</v>
      </c>
      <c r="T264" s="22">
        <f t="shared" si="122"/>
        <v>1306951.3400000001</v>
      </c>
      <c r="U264" s="154">
        <f>+IFERROR((R264/N264),0%)</f>
        <v>0.92876664364515082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239000</v>
      </c>
      <c r="L265" s="32">
        <f>IFERROR(VLOOKUP(G265,'Base Zero'!$A:$L,10,FALSE),0)</f>
        <v>2238999</v>
      </c>
      <c r="M265" s="32">
        <f>+L265-N265</f>
        <v>0</v>
      </c>
      <c r="N265" s="32">
        <f>IFERROR(VLOOKUP(G265,'Base Zero'!$A:$P,16,FALSE),0)</f>
        <v>2238999</v>
      </c>
      <c r="O265" s="32">
        <f>IFERROR(VLOOKUP(G265,'Base Execução'!A:M,6,FALSE),0)+IFERROR(VLOOKUP(G265,'Destaque Liberado pela CPRM'!A:F,6,FALSE),0)</f>
        <v>2227371.35</v>
      </c>
      <c r="P265" s="231">
        <f>+N265-O265</f>
        <v>11627.649999999907</v>
      </c>
      <c r="Q265" s="32"/>
      <c r="R265" s="231">
        <f>IFERROR(VLOOKUP(G265,'Base Execução'!$A:$K,7,FALSE),0)</f>
        <v>2052930.79</v>
      </c>
      <c r="S265" s="231">
        <f>IFERROR(VLOOKUP(G265,'Base Execução'!$A:$K,9,FALSE),0)</f>
        <v>1219561.8400000001</v>
      </c>
      <c r="T265" s="32">
        <f>IFERROR(VLOOKUP(G265,'Base Execução'!$A:$K,11,FALSE),0)</f>
        <v>1086471.3400000001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0</v>
      </c>
      <c r="N266" s="32">
        <f>IFERROR(VLOOKUP(G266,'Base Zero'!$A:$P,16,FALSE),0)</f>
        <v>1000000</v>
      </c>
      <c r="O266" s="32">
        <f>IFERROR(VLOOKUP(G266,'Base Execução'!A:M,6,FALSE),0)+IFERROR(VLOOKUP(G266,'Destaque Liberado pela CPRM'!A:F,6,FALSE),0)</f>
        <v>955343.44</v>
      </c>
      <c r="P266" s="231">
        <f>+N266-O266</f>
        <v>44656.560000000056</v>
      </c>
      <c r="Q266" s="33"/>
      <c r="R266" s="231">
        <f>IFERROR(VLOOKUP(G266,'Base Execução'!$A:$K,7,FALSE),0)</f>
        <v>955343.44</v>
      </c>
      <c r="S266" s="231">
        <f>IFERROR(VLOOKUP(G266,'Base Execução'!$A:$K,9,FALSE),0)</f>
        <v>256466</v>
      </c>
      <c r="T266" s="32">
        <f>IFERROR(VLOOKUP(G266,'Base Execução'!$A:$K,11,FALSE),0)</f>
        <v>220480</v>
      </c>
      <c r="U266" s="155"/>
    </row>
    <row r="267" spans="1:33" ht="15" customHeight="1" x14ac:dyDescent="0.2">
      <c r="A267" s="272"/>
      <c r="B267" s="424" t="s">
        <v>274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-828074</v>
      </c>
      <c r="L268" s="22">
        <f t="shared" si="123"/>
        <v>4171926</v>
      </c>
      <c r="M268" s="22">
        <f t="shared" si="123"/>
        <v>0</v>
      </c>
      <c r="N268" s="22">
        <f t="shared" si="123"/>
        <v>4171926</v>
      </c>
      <c r="O268" s="22">
        <f t="shared" si="123"/>
        <v>4170347.48</v>
      </c>
      <c r="P268" s="229">
        <f t="shared" si="123"/>
        <v>1578.5200000000186</v>
      </c>
      <c r="Q268" s="22">
        <f t="shared" si="123"/>
        <v>0</v>
      </c>
      <c r="R268" s="22">
        <f t="shared" si="123"/>
        <v>3319981.94</v>
      </c>
      <c r="S268" s="22">
        <f t="shared" si="123"/>
        <v>2268278.52</v>
      </c>
      <c r="T268" s="22">
        <f t="shared" si="123"/>
        <v>1984343.15</v>
      </c>
      <c r="U268" s="154">
        <f>+IFERROR((R268/N268),0%)</f>
        <v>0.7957911861332152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-828074</v>
      </c>
      <c r="L269" s="32">
        <f>IFERROR(VLOOKUP(G269,'Base Zero'!$A:$L,10,FALSE),0)</f>
        <v>4171926</v>
      </c>
      <c r="M269" s="32">
        <f>+L269-N269</f>
        <v>0</v>
      </c>
      <c r="N269" s="32">
        <f>IFERROR(VLOOKUP(G269,'Base Zero'!$A:$P,16,FALSE),0)</f>
        <v>4171926</v>
      </c>
      <c r="O269" s="32">
        <f>IFERROR(VLOOKUP(G269,'Base Execução'!A:M,6,FALSE),0)+IFERROR(VLOOKUP(G269,'Destaque Liberado pela CPRM'!A:F,6,FALSE),0)</f>
        <v>4170347.48</v>
      </c>
      <c r="P269" s="231">
        <f>+N269-O269</f>
        <v>1578.5200000000186</v>
      </c>
      <c r="Q269" s="32"/>
      <c r="R269" s="231">
        <f>IFERROR(VLOOKUP(G269,'Base Execução'!$A:$K,7,FALSE),0)</f>
        <v>3319981.94</v>
      </c>
      <c r="S269" s="231">
        <f>IFERROR(VLOOKUP(G269,'Base Execução'!$A:$K,9,FALSE),0)</f>
        <v>2268278.52</v>
      </c>
      <c r="T269" s="32">
        <f>IFERROR(VLOOKUP(G269,'Base Execução'!$A:$K,11,FALSE),0)</f>
        <v>1984343.15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275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397075.69</v>
      </c>
      <c r="P272" s="229">
        <f t="shared" si="124"/>
        <v>13849.309999999998</v>
      </c>
      <c r="Q272" s="22">
        <f t="shared" si="124"/>
        <v>0</v>
      </c>
      <c r="R272" s="22">
        <f t="shared" si="124"/>
        <v>347295.68</v>
      </c>
      <c r="S272" s="22">
        <f t="shared" si="124"/>
        <v>154447.29999999999</v>
      </c>
      <c r="T272" s="22">
        <f t="shared" si="124"/>
        <v>152618.10999999999</v>
      </c>
      <c r="U272" s="154">
        <f>+IFERROR((R272/N272),0%)</f>
        <v>0.84515588002676889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397075.69</v>
      </c>
      <c r="P273" s="231">
        <f>+N273-O273</f>
        <v>13849.309999999998</v>
      </c>
      <c r="Q273" s="32"/>
      <c r="R273" s="231">
        <f>IFERROR(VLOOKUP(G273,'Base Execução'!$A:$K,7,FALSE),0)</f>
        <v>347295.68</v>
      </c>
      <c r="S273" s="231">
        <f>IFERROR(VLOOKUP(G273,'Base Execução'!$A:$K,9,FALSE),0)</f>
        <v>154447.29999999999</v>
      </c>
      <c r="T273" s="32">
        <f>IFERROR(VLOOKUP(G273,'Base Execução'!$A:$K,11,FALSE),0)</f>
        <v>152618.10999999999</v>
      </c>
      <c r="U273" s="155"/>
    </row>
    <row r="274" spans="1:33" ht="24.95" customHeight="1" x14ac:dyDescent="0.2">
      <c r="A274" s="272"/>
      <c r="B274" s="424" t="s">
        <v>276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355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356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277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1193143.7</v>
      </c>
      <c r="P281" s="21">
        <f t="shared" si="127"/>
        <v>130133.29999999999</v>
      </c>
      <c r="Q281" s="22">
        <f t="shared" si="127"/>
        <v>0</v>
      </c>
      <c r="R281" s="21">
        <f t="shared" si="127"/>
        <v>1189215.83</v>
      </c>
      <c r="S281" s="21">
        <f t="shared" si="127"/>
        <v>239329.31</v>
      </c>
      <c r="T281" s="21">
        <f t="shared" si="127"/>
        <v>211176.35</v>
      </c>
      <c r="U281" s="156">
        <f>+IFERROR((R281/N281),0%)</f>
        <v>0.89869001728285169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325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302272.7</v>
      </c>
      <c r="P283" s="32">
        <f t="shared" si="128"/>
        <v>129636.29999999999</v>
      </c>
      <c r="Q283" s="32">
        <f t="shared" si="128"/>
        <v>0</v>
      </c>
      <c r="R283" s="32">
        <f t="shared" si="128"/>
        <v>298344.83</v>
      </c>
      <c r="S283" s="32">
        <f t="shared" si="128"/>
        <v>221336.31</v>
      </c>
      <c r="T283" s="32">
        <f t="shared" si="128"/>
        <v>211176.35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17993</v>
      </c>
      <c r="T284" s="32">
        <f t="shared" si="129"/>
        <v>0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278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1193143.7</v>
      </c>
      <c r="P287" s="22">
        <f t="shared" si="130"/>
        <v>130133.29999999999</v>
      </c>
      <c r="Q287" s="22">
        <f t="shared" si="130"/>
        <v>0</v>
      </c>
      <c r="R287" s="22">
        <f t="shared" si="130"/>
        <v>1189215.83</v>
      </c>
      <c r="S287" s="22">
        <f t="shared" si="130"/>
        <v>239329.31</v>
      </c>
      <c r="T287" s="22">
        <f t="shared" si="130"/>
        <v>211176.35</v>
      </c>
      <c r="U287" s="154">
        <f>+IFERROR((R287/N287),0%)</f>
        <v>0.89869001728285169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302272.7</v>
      </c>
      <c r="P288" s="231">
        <f>+N288-O288</f>
        <v>129636.29999999999</v>
      </c>
      <c r="Q288" s="32"/>
      <c r="R288" s="231">
        <f>IFERROR(VLOOKUP(G288,'Base Execução'!$A:$K,7,FALSE),0)</f>
        <v>298344.83</v>
      </c>
      <c r="S288" s="231">
        <f>IFERROR(VLOOKUP(G288,'Base Execução'!$A:$K,9,FALSE),0)</f>
        <v>221336.31</v>
      </c>
      <c r="T288" s="32">
        <f>IFERROR(VLOOKUP(G288,'Base Execução'!$A:$K,11,FALSE),0)</f>
        <v>211176.35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17993</v>
      </c>
      <c r="T289" s="32">
        <f>IFERROR(VLOOKUP(G289,'Base Execução'!$A:$K,11,FALSE),0)</f>
        <v>0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279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170478</v>
      </c>
      <c r="N291" s="21">
        <f t="shared" si="131"/>
        <v>6645911</v>
      </c>
      <c r="O291" s="21">
        <f t="shared" si="131"/>
        <v>5542333.6400000006</v>
      </c>
      <c r="P291" s="21">
        <f t="shared" si="131"/>
        <v>1103577.3599999999</v>
      </c>
      <c r="Q291" s="22">
        <f>SUM(Q293:Q295)</f>
        <v>0</v>
      </c>
      <c r="R291" s="21">
        <f t="shared" si="131"/>
        <v>4715257.3</v>
      </c>
      <c r="S291" s="21">
        <f t="shared" si="131"/>
        <v>1599062.52</v>
      </c>
      <c r="T291" s="21">
        <f t="shared" si="131"/>
        <v>1513787.2199999997</v>
      </c>
      <c r="U291" s="156">
        <f>+IFERROR((R291/N291),0%)</f>
        <v>0.70949750906986264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326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H302+H309+H313+H317</f>
        <v>5200000</v>
      </c>
      <c r="I293" s="32">
        <f t="shared" ref="I293:T293" si="132">I302+I309+I313+I317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4565187.8600000003</v>
      </c>
      <c r="P293" s="32">
        <f t="shared" si="132"/>
        <v>234812.13999999998</v>
      </c>
      <c r="Q293" s="32">
        <f t="shared" si="132"/>
        <v>0</v>
      </c>
      <c r="R293" s="32">
        <f t="shared" si="132"/>
        <v>3755868.1399999997</v>
      </c>
      <c r="S293" s="32">
        <f t="shared" si="132"/>
        <v>1485064.75</v>
      </c>
      <c r="T293" s="32">
        <f t="shared" si="132"/>
        <v>1404397.5999999999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H303+H310+H314+H318</f>
        <v>1600000</v>
      </c>
      <c r="I294" s="32">
        <f t="shared" ref="I294:T294" si="133">I303+I310+I314+I318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863597.15</v>
      </c>
      <c r="P294" s="32">
        <f t="shared" si="133"/>
        <v>252791.85</v>
      </c>
      <c r="Q294" s="32">
        <f t="shared" ref="Q294" si="134">Q303</f>
        <v>0</v>
      </c>
      <c r="R294" s="32">
        <f t="shared" si="133"/>
        <v>859782.25</v>
      </c>
      <c r="S294" s="32">
        <f t="shared" si="133"/>
        <v>40656</v>
      </c>
      <c r="T294" s="32">
        <f t="shared" si="133"/>
        <v>37557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H304+H321</f>
        <v>700000</v>
      </c>
      <c r="I295" s="32">
        <f t="shared" ref="I295:T295" si="135">I304+I321</f>
        <v>0</v>
      </c>
      <c r="J295" s="32">
        <f t="shared" si="135"/>
        <v>700000</v>
      </c>
      <c r="K295" s="32">
        <f t="shared" si="135"/>
        <v>0</v>
      </c>
      <c r="L295" s="32">
        <f t="shared" si="135"/>
        <v>700000</v>
      </c>
      <c r="M295" s="32">
        <f t="shared" si="135"/>
        <v>0</v>
      </c>
      <c r="N295" s="32">
        <f t="shared" si="135"/>
        <v>700000</v>
      </c>
      <c r="O295" s="32">
        <f t="shared" si="135"/>
        <v>113548.63</v>
      </c>
      <c r="P295" s="32">
        <f t="shared" si="135"/>
        <v>586451.37</v>
      </c>
      <c r="Q295" s="32">
        <f t="shared" ref="Q295" si="136">Q304</f>
        <v>0</v>
      </c>
      <c r="R295" s="32">
        <f t="shared" si="135"/>
        <v>99606.91</v>
      </c>
      <c r="S295" s="32">
        <f t="shared" si="135"/>
        <v>73341.77</v>
      </c>
      <c r="T295" s="32">
        <f t="shared" si="135"/>
        <v>71832.62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H324</f>
        <v>0</v>
      </c>
      <c r="I296" s="32">
        <f t="shared" ref="I296:T296" si="137">I324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170478</v>
      </c>
      <c r="N296" s="32">
        <f t="shared" si="137"/>
        <v>29522</v>
      </c>
      <c r="O296" s="32">
        <f t="shared" si="137"/>
        <v>0</v>
      </c>
      <c r="P296" s="32">
        <f t="shared" si="137"/>
        <v>29522</v>
      </c>
      <c r="Q296" s="32"/>
      <c r="R296" s="32">
        <f t="shared" si="137"/>
        <v>0</v>
      </c>
      <c r="S296" s="32">
        <f t="shared" si="137"/>
        <v>0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</f>
        <v>0</v>
      </c>
      <c r="I297" s="32">
        <f t="shared" ref="I297:T297" si="138">I305</f>
        <v>0</v>
      </c>
      <c r="J297" s="32">
        <f t="shared" si="138"/>
        <v>0</v>
      </c>
      <c r="K297" s="32">
        <f t="shared" si="138"/>
        <v>0</v>
      </c>
      <c r="L297" s="32">
        <f t="shared" si="138"/>
        <v>0</v>
      </c>
      <c r="M297" s="32">
        <f t="shared" si="138"/>
        <v>0</v>
      </c>
      <c r="N297" s="32">
        <f t="shared" si="138"/>
        <v>0</v>
      </c>
      <c r="O297" s="32">
        <f t="shared" si="138"/>
        <v>0</v>
      </c>
      <c r="P297" s="32">
        <f t="shared" si="138"/>
        <v>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280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149664.07</v>
      </c>
      <c r="S301" s="21">
        <f>SUM(S302:S306)</f>
        <v>110743.74</v>
      </c>
      <c r="T301" s="21">
        <f>SUM(T302:T306)</f>
        <v>108411.71</v>
      </c>
      <c r="U301" s="154">
        <f>+IFERROR((R301/N301),0%)</f>
        <v>0.74832035000000008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149664.07</v>
      </c>
      <c r="S302" s="231">
        <f>IFERROR(VLOOKUP(G302,'Base Execução'!$A:$K,9,FALSE),0)</f>
        <v>110743.74</v>
      </c>
      <c r="T302" s="32">
        <f>IFERROR(VLOOKUP(G302,'Base Execução'!$A:$K,11,FALSE),0)</f>
        <v>108411.71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281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SUM(H309:H310)</f>
        <v>4900000</v>
      </c>
      <c r="I308" s="22">
        <f t="shared" ref="I308:P308" si="141">SUM(I309:I310)</f>
        <v>0</v>
      </c>
      <c r="J308" s="22">
        <f t="shared" si="141"/>
        <v>4900000</v>
      </c>
      <c r="K308" s="22">
        <f t="shared" si="141"/>
        <v>-683611</v>
      </c>
      <c r="L308" s="22">
        <f t="shared" si="141"/>
        <v>4216389</v>
      </c>
      <c r="M308" s="22">
        <f t="shared" si="141"/>
        <v>0</v>
      </c>
      <c r="N308" s="22">
        <f t="shared" si="141"/>
        <v>4216389</v>
      </c>
      <c r="O308" s="22">
        <f t="shared" si="141"/>
        <v>4047782.25</v>
      </c>
      <c r="P308" s="22">
        <f t="shared" si="141"/>
        <v>168606.75</v>
      </c>
      <c r="Q308" s="33"/>
      <c r="R308" s="22">
        <f t="shared" ref="R308" si="142">SUM(R309:R310)</f>
        <v>3361610.06</v>
      </c>
      <c r="S308" s="22">
        <f t="shared" ref="S308" si="143">SUM(S309:S310)</f>
        <v>867034.97</v>
      </c>
      <c r="T308" s="22">
        <f t="shared" ref="T308" si="144">SUM(T309:T310)</f>
        <v>833120.02</v>
      </c>
      <c r="U308" s="154">
        <f>+IFERROR((R308/N308),0%)</f>
        <v>0.79727227729699512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3300000</v>
      </c>
      <c r="P309" s="231">
        <f>+N309-O309</f>
        <v>0</v>
      </c>
      <c r="Q309" s="32"/>
      <c r="R309" s="231">
        <f>IFERROR(VLOOKUP(G309,'Base Execução'!$A:$K,7,FALSE),0)</f>
        <v>2613827.81</v>
      </c>
      <c r="S309" s="231">
        <f>IFERROR(VLOOKUP(G309,'Base Execução'!$A:$K,9,FALSE),0)</f>
        <v>826378.97</v>
      </c>
      <c r="T309" s="32">
        <f>IFERROR(VLOOKUP(G309,'Base Execução'!$A:$K,11,FALSE),0)</f>
        <v>795563.02</v>
      </c>
      <c r="U309" s="155"/>
    </row>
    <row r="310" spans="1:33" ht="15" customHeight="1" x14ac:dyDescent="0.2">
      <c r="A310" s="95"/>
      <c r="B310" s="314" t="s">
        <v>26</v>
      </c>
      <c r="C310" s="278" t="s">
        <v>27</v>
      </c>
      <c r="D310" s="39">
        <v>174264</v>
      </c>
      <c r="E310" s="269">
        <v>4</v>
      </c>
      <c r="F310" s="313">
        <v>142</v>
      </c>
      <c r="G310" s="40" t="str">
        <f>CONCATENATE(D310,"-",E310,"-",F310)</f>
        <v>174264-4-142</v>
      </c>
      <c r="H310" s="32">
        <f>IFERROR(VLOOKUP(G310,'Base Zero'!A:L,6,FALSE),0)</f>
        <v>1400000</v>
      </c>
      <c r="I310" s="32">
        <f>IFERROR(VLOOKUP(G310,'Base Zero'!A:L,7,FALSE),0)</f>
        <v>0</v>
      </c>
      <c r="J310" s="23">
        <f>(H310+I310)</f>
        <v>1400000</v>
      </c>
      <c r="K310" s="32">
        <f>(L310-J310)</f>
        <v>-483611</v>
      </c>
      <c r="L310" s="32">
        <f>IFERROR(VLOOKUP(G310,'Base Zero'!$A:$L,10,FALSE),0)</f>
        <v>916389</v>
      </c>
      <c r="M310" s="32">
        <f>+L310-N310</f>
        <v>0</v>
      </c>
      <c r="N310" s="32">
        <f>IFERROR(VLOOKUP(G310,'Base Zero'!$A:$P,16,FALSE),0)</f>
        <v>916389</v>
      </c>
      <c r="O310" s="32">
        <f>IFERROR(VLOOKUP(G310,'Base Execução'!A:M,6,FALSE),0)+IFERROR(VLOOKUP(G310,'Destaque Liberado pela CPRM'!A:F,6,FALSE),0)</f>
        <v>747782.25</v>
      </c>
      <c r="P310" s="231">
        <f>+N310-O310</f>
        <v>168606.75</v>
      </c>
      <c r="Q310" s="32"/>
      <c r="R310" s="231">
        <f>IFERROR(VLOOKUP(G310,'Base Execução'!$A:$K,7,FALSE),0)</f>
        <v>747782.25</v>
      </c>
      <c r="S310" s="231">
        <f>IFERROR(VLOOKUP(G310,'Base Execução'!$A:$K,9,FALSE),0)</f>
        <v>40656</v>
      </c>
      <c r="T310" s="32">
        <f>IFERROR(VLOOKUP(G310,'Base Execução'!$A:$K,11,FALSE),0)</f>
        <v>37557</v>
      </c>
      <c r="U310" s="155"/>
    </row>
    <row r="311" spans="1:33" s="11" customFormat="1" ht="15" customHeight="1" x14ac:dyDescent="0.2">
      <c r="A311" s="95"/>
      <c r="B311" s="424" t="s">
        <v>172</v>
      </c>
      <c r="C311" s="278"/>
      <c r="D311" s="40"/>
      <c r="E311" s="269"/>
      <c r="F311" s="313"/>
      <c r="G311" s="40"/>
      <c r="H311" s="32"/>
      <c r="I311" s="32"/>
      <c r="J311" s="23"/>
      <c r="K311" s="32"/>
      <c r="L311" s="32"/>
      <c r="M311" s="32"/>
      <c r="N311" s="32"/>
      <c r="O311" s="32"/>
      <c r="P311" s="231"/>
      <c r="Q311" s="33"/>
      <c r="R311" s="231"/>
      <c r="S311" s="231"/>
      <c r="T311" s="32"/>
      <c r="U311" s="155"/>
      <c r="V311" s="364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" customHeight="1" x14ac:dyDescent="0.2">
      <c r="A312" s="95"/>
      <c r="B312" s="38" t="s">
        <v>144</v>
      </c>
      <c r="C312" s="269"/>
      <c r="D312" s="36"/>
      <c r="E312" s="35"/>
      <c r="F312" s="37"/>
      <c r="G312" s="33"/>
      <c r="H312" s="22">
        <f>SUM(H313:H314)</f>
        <v>900000</v>
      </c>
      <c r="I312" s="22">
        <f t="shared" ref="I312:P312" si="145">SUM(I313:I314)</f>
        <v>0</v>
      </c>
      <c r="J312" s="22">
        <f t="shared" si="145"/>
        <v>900000</v>
      </c>
      <c r="K312" s="22">
        <f t="shared" si="145"/>
        <v>-100000</v>
      </c>
      <c r="L312" s="22">
        <f t="shared" si="145"/>
        <v>800000</v>
      </c>
      <c r="M312" s="22">
        <f t="shared" si="145"/>
        <v>0</v>
      </c>
      <c r="N312" s="22">
        <f t="shared" si="145"/>
        <v>800000</v>
      </c>
      <c r="O312" s="22">
        <f t="shared" si="145"/>
        <v>715809.4</v>
      </c>
      <c r="P312" s="22">
        <f t="shared" si="145"/>
        <v>84190.6</v>
      </c>
      <c r="Q312" s="33"/>
      <c r="R312" s="22">
        <f t="shared" ref="R312" si="146">SUM(R313:R314)</f>
        <v>661551.4</v>
      </c>
      <c r="S312" s="22">
        <f t="shared" ref="S312" si="147">SUM(S313:S314)</f>
        <v>282357.23</v>
      </c>
      <c r="T312" s="22">
        <f t="shared" ref="T312" si="148">SUM(T313:T314)</f>
        <v>259324.43</v>
      </c>
      <c r="U312" s="154">
        <f>+IFERROR((R312/N312),0%)</f>
        <v>0.82693925000000001</v>
      </c>
    </row>
    <row r="313" spans="1:33" ht="15" customHeight="1" x14ac:dyDescent="0.2">
      <c r="A313" s="95"/>
      <c r="B313" s="314" t="s">
        <v>26</v>
      </c>
      <c r="C313" s="269" t="s">
        <v>24</v>
      </c>
      <c r="D313" s="39">
        <v>174268</v>
      </c>
      <c r="E313" s="269">
        <v>3</v>
      </c>
      <c r="F313" s="313">
        <v>142</v>
      </c>
      <c r="G313" s="40" t="str">
        <f>CONCATENATE(D313,"-",E313,"-",F313)</f>
        <v>174268-3-142</v>
      </c>
      <c r="H313" s="32">
        <f>IFERROR(VLOOKUP(G313,'Base Zero'!A:L,6,FALSE),0)</f>
        <v>800000</v>
      </c>
      <c r="I313" s="32">
        <f>IFERROR(VLOOKUP(G313,'Base Zero'!A:L,7,FALSE),0)</f>
        <v>0</v>
      </c>
      <c r="J313" s="23">
        <f>(H313+I313)</f>
        <v>800000</v>
      </c>
      <c r="K313" s="32">
        <f>(L313-J313)</f>
        <v>-100000</v>
      </c>
      <c r="L313" s="32">
        <f>IFERROR(VLOOKUP(G313,'Base Zero'!$A:$L,10,FALSE),0)</f>
        <v>700000</v>
      </c>
      <c r="M313" s="32">
        <f>+L313-N313</f>
        <v>0</v>
      </c>
      <c r="N313" s="32">
        <f>IFERROR(VLOOKUP(G313,'Base Zero'!$A:$P,16,FALSE),0)</f>
        <v>700000</v>
      </c>
      <c r="O313" s="32">
        <f>IFERROR(VLOOKUP(G313,'Base Execução'!A:M,6,FALSE),0)+IFERROR(VLOOKUP(G313,'Destaque Liberado pela CPRM'!A:F,6,FALSE),0)</f>
        <v>699994.5</v>
      </c>
      <c r="P313" s="231">
        <f>+N313-O313</f>
        <v>5.5</v>
      </c>
      <c r="Q313" s="32"/>
      <c r="R313" s="231">
        <f>IFERROR(VLOOKUP(G313,'Base Execução'!$A:$K,7,FALSE),0)</f>
        <v>649551.4</v>
      </c>
      <c r="S313" s="231">
        <f>IFERROR(VLOOKUP(G313,'Base Execução'!$A:$K,9,FALSE),0)</f>
        <v>282357.23</v>
      </c>
      <c r="T313" s="32">
        <f>IFERROR(VLOOKUP(G313,'Base Execução'!$A:$K,11,FALSE),0)</f>
        <v>259324.43</v>
      </c>
      <c r="U313" s="155"/>
    </row>
    <row r="314" spans="1:33" ht="15" customHeight="1" x14ac:dyDescent="0.2">
      <c r="A314" s="95"/>
      <c r="B314" s="314" t="s">
        <v>26</v>
      </c>
      <c r="C314" s="278" t="s">
        <v>27</v>
      </c>
      <c r="D314" s="39">
        <v>174268</v>
      </c>
      <c r="E314" s="269">
        <v>4</v>
      </c>
      <c r="F314" s="313">
        <v>142</v>
      </c>
      <c r="G314" s="40" t="str">
        <f>CONCATENATE(D314,"-",E314,"-",F314)</f>
        <v>174268-4-142</v>
      </c>
      <c r="H314" s="32">
        <f>IFERROR(VLOOKUP(G314,'Base Zero'!A:L,6,FALSE),0)</f>
        <v>100000</v>
      </c>
      <c r="I314" s="32">
        <f>IFERROR(VLOOKUP(G314,'Base Zero'!A:L,7,FALSE),0)</f>
        <v>0</v>
      </c>
      <c r="J314" s="23">
        <f>(H314+I314)</f>
        <v>100000</v>
      </c>
      <c r="K314" s="32">
        <f>(L314-J314)</f>
        <v>0</v>
      </c>
      <c r="L314" s="32">
        <f>IFERROR(VLOOKUP(G314,'Base Zero'!$A:$L,10,FALSE),0)</f>
        <v>100000</v>
      </c>
      <c r="M314" s="32">
        <f>+L314-N314</f>
        <v>0</v>
      </c>
      <c r="N314" s="32">
        <f>IFERROR(VLOOKUP(G314,'Base Zero'!$A:$P,16,FALSE),0)</f>
        <v>100000</v>
      </c>
      <c r="O314" s="32">
        <f>IFERROR(VLOOKUP(G314,'Base Execução'!A:M,6,FALSE),0)+IFERROR(VLOOKUP(G314,'Destaque Liberado pela CPRM'!A:F,6,FALSE),0)</f>
        <v>15814.9</v>
      </c>
      <c r="P314" s="231">
        <f>+N314-O314</f>
        <v>84185.1</v>
      </c>
      <c r="Q314" s="32"/>
      <c r="R314" s="231">
        <f>IFERROR(VLOOKUP(G314,'Base Execução'!$A:$K,7,FALSE),0)</f>
        <v>12000</v>
      </c>
      <c r="S314" s="231">
        <f>IFERROR(VLOOKUP(G314,'Base Execução'!$A:$K,9,FALSE),0)</f>
        <v>0</v>
      </c>
      <c r="T314" s="32">
        <f>IFERROR(VLOOKUP(G314,'Base Execução'!$A:$K,11,FALSE),0)</f>
        <v>0</v>
      </c>
      <c r="U314" s="155"/>
    </row>
    <row r="315" spans="1:33" s="11" customFormat="1" ht="15" customHeight="1" x14ac:dyDescent="0.2">
      <c r="A315" s="95"/>
      <c r="B315" s="424" t="s">
        <v>173</v>
      </c>
      <c r="C315" s="278"/>
      <c r="D315" s="39"/>
      <c r="E315" s="269"/>
      <c r="F315" s="313"/>
      <c r="G315" s="40"/>
      <c r="H315" s="32"/>
      <c r="I315" s="32"/>
      <c r="J315" s="23"/>
      <c r="K315" s="32"/>
      <c r="L315" s="32"/>
      <c r="M315" s="32"/>
      <c r="N315" s="32"/>
      <c r="O315" s="32"/>
      <c r="P315" s="231"/>
      <c r="Q315" s="33"/>
      <c r="R315" s="231"/>
      <c r="S315" s="231"/>
      <c r="T315" s="32"/>
      <c r="U315" s="155"/>
      <c r="V315" s="364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" customHeight="1" x14ac:dyDescent="0.2">
      <c r="A316" s="95"/>
      <c r="B316" s="38" t="s">
        <v>145</v>
      </c>
      <c r="C316" s="269"/>
      <c r="D316" s="36"/>
      <c r="E316" s="35"/>
      <c r="F316" s="37"/>
      <c r="G316" s="33"/>
      <c r="H316" s="22">
        <f>SUM(H317:H318)</f>
        <v>800000</v>
      </c>
      <c r="I316" s="22">
        <f t="shared" ref="I316:P316" si="149">SUM(I317:I318)</f>
        <v>0</v>
      </c>
      <c r="J316" s="22">
        <f t="shared" si="149"/>
        <v>800000</v>
      </c>
      <c r="K316" s="22">
        <f t="shared" si="149"/>
        <v>-100000</v>
      </c>
      <c r="L316" s="22">
        <f t="shared" si="149"/>
        <v>700000</v>
      </c>
      <c r="M316" s="22">
        <f t="shared" si="149"/>
        <v>0</v>
      </c>
      <c r="N316" s="22">
        <f t="shared" si="149"/>
        <v>700000</v>
      </c>
      <c r="O316" s="22">
        <f t="shared" si="149"/>
        <v>498913.63</v>
      </c>
      <c r="P316" s="22">
        <f t="shared" si="149"/>
        <v>201086.37</v>
      </c>
      <c r="Q316" s="33"/>
      <c r="R316" s="22">
        <f t="shared" ref="R316" si="150">SUM(R317:R318)</f>
        <v>442824.86</v>
      </c>
      <c r="S316" s="22">
        <f t="shared" ref="S316" si="151">SUM(S317:S318)</f>
        <v>265584.81</v>
      </c>
      <c r="T316" s="22">
        <f t="shared" ref="T316" si="152">SUM(T317:T318)</f>
        <v>241098.44</v>
      </c>
      <c r="U316" s="154">
        <f>+IFERROR((R316/N316),0%)</f>
        <v>0.63260694285714281</v>
      </c>
    </row>
    <row r="317" spans="1:33" ht="15" customHeight="1" x14ac:dyDescent="0.2">
      <c r="A317" s="95"/>
      <c r="B317" s="314" t="s">
        <v>26</v>
      </c>
      <c r="C317" s="269" t="s">
        <v>24</v>
      </c>
      <c r="D317" s="39">
        <v>174271</v>
      </c>
      <c r="E317" s="269">
        <v>3</v>
      </c>
      <c r="F317" s="313">
        <v>142</v>
      </c>
      <c r="G317" s="40" t="str">
        <f>CONCATENATE(D317,"-",E317,"-",F317)</f>
        <v>174271-3-142</v>
      </c>
      <c r="H317" s="32">
        <f>IFERROR(VLOOKUP(G317,'Base Zero'!A:L,6,FALSE),0)</f>
        <v>700000</v>
      </c>
      <c r="I317" s="32">
        <f>IFERROR(VLOOKUP(G317,'Base Zero'!A:L,7,FALSE),0)</f>
        <v>0</v>
      </c>
      <c r="J317" s="23">
        <f>(H317+I317)</f>
        <v>700000</v>
      </c>
      <c r="K317" s="32">
        <f>(L317-J317)</f>
        <v>-100000</v>
      </c>
      <c r="L317" s="32">
        <f>IFERROR(VLOOKUP(G317,'Base Zero'!$A:$L,10,FALSE),0)</f>
        <v>600000</v>
      </c>
      <c r="M317" s="32">
        <f>+L317-N317</f>
        <v>0</v>
      </c>
      <c r="N317" s="32">
        <f>IFERROR(VLOOKUP(G317,'Base Zero'!$A:$P,16,FALSE),0)</f>
        <v>600000</v>
      </c>
      <c r="O317" s="32">
        <f>IFERROR(VLOOKUP(G317,'Base Execução'!A:M,6,FALSE),0)+IFERROR(VLOOKUP(G317,'Destaque Liberado pela CPRM'!A:F,6,FALSE),0)</f>
        <v>398913.63</v>
      </c>
      <c r="P317" s="231">
        <f>+N317-O317</f>
        <v>201086.37</v>
      </c>
      <c r="Q317" s="32"/>
      <c r="R317" s="231">
        <f>IFERROR(VLOOKUP(G317,'Base Execução'!$A:$K,7,FALSE),0)</f>
        <v>342824.86</v>
      </c>
      <c r="S317" s="231">
        <f>IFERROR(VLOOKUP(G317,'Base Execução'!$A:$K,9,FALSE),0)</f>
        <v>265584.81</v>
      </c>
      <c r="T317" s="32">
        <f>IFERROR(VLOOKUP(G317,'Base Execução'!$A:$K,11,FALSE),0)</f>
        <v>241098.44</v>
      </c>
      <c r="U317" s="155"/>
    </row>
    <row r="318" spans="1:33" ht="15" customHeight="1" x14ac:dyDescent="0.2">
      <c r="A318" s="95"/>
      <c r="B318" s="314" t="s">
        <v>26</v>
      </c>
      <c r="C318" s="278" t="s">
        <v>27</v>
      </c>
      <c r="D318" s="39">
        <v>174271</v>
      </c>
      <c r="E318" s="269">
        <v>4</v>
      </c>
      <c r="F318" s="313">
        <v>142</v>
      </c>
      <c r="G318" s="40" t="str">
        <f>CONCATENATE(D318,"-",E318,"-",F318)</f>
        <v>174271-4-142</v>
      </c>
      <c r="H318" s="32">
        <f>IFERROR(VLOOKUP(G318,'Base Zero'!A:L,6,FALSE),0)</f>
        <v>100000</v>
      </c>
      <c r="I318" s="32">
        <f>IFERROR(VLOOKUP(G318,'Base Zero'!A:L,7,FALSE),0)</f>
        <v>0</v>
      </c>
      <c r="J318" s="23">
        <f>(H318+I318)</f>
        <v>100000</v>
      </c>
      <c r="K318" s="32">
        <f>(L318-J318)</f>
        <v>0</v>
      </c>
      <c r="L318" s="32">
        <f>IFERROR(VLOOKUP(G318,'Base Zero'!$A:$L,10,FALSE),0)</f>
        <v>100000</v>
      </c>
      <c r="M318" s="32">
        <f>+L318-N318</f>
        <v>0</v>
      </c>
      <c r="N318" s="32">
        <f>IFERROR(VLOOKUP(G318,'Base Zero'!$A:$P,16,FALSE),0)</f>
        <v>100000</v>
      </c>
      <c r="O318" s="32">
        <f>IFERROR(VLOOKUP(G318,'Base Execução'!A:M,6,FALSE),0)+IFERROR(VLOOKUP(G318,'Destaque Liberado pela CPRM'!A:F,6,FALSE),0)</f>
        <v>100000</v>
      </c>
      <c r="P318" s="231">
        <f>+N318-O318</f>
        <v>0</v>
      </c>
      <c r="Q318" s="32"/>
      <c r="R318" s="231">
        <f>IFERROR(VLOOKUP(G318,'Base Execução'!$A:$K,7,FALSE),0)</f>
        <v>100000</v>
      </c>
      <c r="S318" s="231">
        <f>IFERROR(VLOOKUP(G318,'Base Execução'!$A:$K,9,FALSE),0)</f>
        <v>0</v>
      </c>
      <c r="T318" s="32">
        <f>IFERROR(VLOOKUP(G318,'Base Execução'!$A:$K,11,FALSE),0)</f>
        <v>0</v>
      </c>
      <c r="U318" s="155"/>
    </row>
    <row r="319" spans="1:33" s="11" customFormat="1" ht="24.95" customHeight="1" x14ac:dyDescent="0.2">
      <c r="A319" s="95"/>
      <c r="B319" s="424" t="s">
        <v>357</v>
      </c>
      <c r="C319" s="278"/>
      <c r="D319" s="40"/>
      <c r="E319" s="278"/>
      <c r="F319" s="279"/>
      <c r="G319" s="40"/>
      <c r="H319" s="32"/>
      <c r="I319" s="32"/>
      <c r="J319" s="32"/>
      <c r="K319" s="32"/>
      <c r="L319" s="32"/>
      <c r="M319" s="32"/>
      <c r="N319" s="32"/>
      <c r="O319" s="32"/>
      <c r="P319" s="231"/>
      <c r="Q319" s="33"/>
      <c r="R319" s="231"/>
      <c r="S319" s="231"/>
      <c r="T319" s="32"/>
      <c r="U319" s="155"/>
      <c r="V319" s="364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" customHeight="1" x14ac:dyDescent="0.2">
      <c r="A320" s="95"/>
      <c r="B320" s="38" t="s">
        <v>358</v>
      </c>
      <c r="C320" s="269"/>
      <c r="D320" s="36"/>
      <c r="E320" s="35"/>
      <c r="F320" s="37"/>
      <c r="G320" s="33"/>
      <c r="H320" s="22">
        <f>SUM(H321:H321)</f>
        <v>700000</v>
      </c>
      <c r="I320" s="22">
        <f>SUM(I321:I321)</f>
        <v>0</v>
      </c>
      <c r="J320" s="22">
        <f t="shared" ref="J320:P320" si="153">SUM(J321:J321)</f>
        <v>700000</v>
      </c>
      <c r="K320" s="22">
        <f t="shared" si="153"/>
        <v>0</v>
      </c>
      <c r="L320" s="22">
        <f t="shared" si="153"/>
        <v>700000</v>
      </c>
      <c r="M320" s="22">
        <f t="shared" si="153"/>
        <v>0</v>
      </c>
      <c r="N320" s="22">
        <f t="shared" si="153"/>
        <v>700000</v>
      </c>
      <c r="O320" s="22">
        <f t="shared" si="153"/>
        <v>113548.63</v>
      </c>
      <c r="P320" s="229">
        <f t="shared" si="153"/>
        <v>586451.37</v>
      </c>
      <c r="Q320" s="33"/>
      <c r="R320" s="229">
        <f>SUM(R321:R321)</f>
        <v>99606.91</v>
      </c>
      <c r="S320" s="229">
        <f>SUM(S321:S321)</f>
        <v>73341.77</v>
      </c>
      <c r="T320" s="22">
        <f>SUM(T321:T321)</f>
        <v>71832.62</v>
      </c>
      <c r="U320" s="154">
        <f>+IFERROR((R320/N320),0%)</f>
        <v>0.14229558571428572</v>
      </c>
    </row>
    <row r="321" spans="1:33" ht="15" customHeight="1" x14ac:dyDescent="0.2">
      <c r="A321" s="95"/>
      <c r="B321" s="314" t="s">
        <v>26</v>
      </c>
      <c r="C321" s="269" t="s">
        <v>24</v>
      </c>
      <c r="D321" s="39">
        <v>204817</v>
      </c>
      <c r="E321" s="269">
        <v>3</v>
      </c>
      <c r="F321" s="313">
        <v>181</v>
      </c>
      <c r="G321" s="40" t="str">
        <f>CONCATENATE(D321,"-",E321,"-",F321)</f>
        <v>204817-3-181</v>
      </c>
      <c r="H321" s="32">
        <f>IFERROR(VLOOKUP(G321,'Base Zero'!A:L,6,FALSE),0)</f>
        <v>700000</v>
      </c>
      <c r="I321" s="32">
        <f>IFERROR(VLOOKUP(G321,'Base Zero'!A:L,7,FALSE),0)</f>
        <v>0</v>
      </c>
      <c r="J321" s="23">
        <f>(H321+I321)</f>
        <v>700000</v>
      </c>
      <c r="K321" s="32">
        <f>(L321-J321)</f>
        <v>0</v>
      </c>
      <c r="L321" s="32">
        <f>IFERROR(VLOOKUP(G321,'Base Zero'!$A:$L,10,FALSE),0)</f>
        <v>700000</v>
      </c>
      <c r="M321" s="32">
        <f>+L321-N321</f>
        <v>0</v>
      </c>
      <c r="N321" s="32">
        <f>IFERROR(VLOOKUP(G321,'Base Zero'!$A:$P,16,FALSE),0)</f>
        <v>700000</v>
      </c>
      <c r="O321" s="32">
        <f>IFERROR(VLOOKUP(G321,'Base Execução'!A:M,6,FALSE),0)+IFERROR(VLOOKUP(G321,'Destaque Liberado pela CPRM'!A:F,6,FALSE),0)</f>
        <v>113548.63</v>
      </c>
      <c r="P321" s="231">
        <f>+N321-O321</f>
        <v>586451.37</v>
      </c>
      <c r="Q321" s="32"/>
      <c r="R321" s="231">
        <f>IFERROR(VLOOKUP(G321,'Base Execução'!$A:$K,7,FALSE),0)</f>
        <v>99606.91</v>
      </c>
      <c r="S321" s="231">
        <f>IFERROR(VLOOKUP(G321,'Base Execução'!$A:$K,9,FALSE),0)</f>
        <v>73341.77</v>
      </c>
      <c r="T321" s="32">
        <f>IFERROR(VLOOKUP(G321,'Base Execução'!$A:$K,11,FALSE),0)</f>
        <v>71832.62</v>
      </c>
      <c r="U321" s="155"/>
    </row>
    <row r="322" spans="1:33" s="11" customFormat="1" ht="24.95" customHeight="1" x14ac:dyDescent="0.2">
      <c r="A322" s="95"/>
      <c r="B322" s="424" t="s">
        <v>359</v>
      </c>
      <c r="C322" s="278"/>
      <c r="D322" s="40"/>
      <c r="E322" s="278"/>
      <c r="F322" s="279"/>
      <c r="G322" s="40"/>
      <c r="H322" s="32"/>
      <c r="I322" s="32"/>
      <c r="J322" s="32"/>
      <c r="K322" s="32"/>
      <c r="L322" s="32"/>
      <c r="M322" s="32"/>
      <c r="N322" s="32"/>
      <c r="O322" s="32"/>
      <c r="P322" s="231"/>
      <c r="Q322" s="33"/>
      <c r="R322" s="231"/>
      <c r="S322" s="231"/>
      <c r="T322" s="32"/>
      <c r="U322" s="155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" customHeight="1" x14ac:dyDescent="0.2">
      <c r="A323" s="95"/>
      <c r="B323" s="38" t="s">
        <v>360</v>
      </c>
      <c r="C323" s="269"/>
      <c r="D323" s="36"/>
      <c r="E323" s="35"/>
      <c r="F323" s="37"/>
      <c r="G323" s="33"/>
      <c r="H323" s="22">
        <f>SUM(H324:H324)</f>
        <v>0</v>
      </c>
      <c r="I323" s="22">
        <f>SUM(I324:I324)</f>
        <v>0</v>
      </c>
      <c r="J323" s="22">
        <f t="shared" ref="J323:P323" si="154">SUM(J324:J324)</f>
        <v>0</v>
      </c>
      <c r="K323" s="22">
        <f t="shared" si="154"/>
        <v>200000</v>
      </c>
      <c r="L323" s="22">
        <f t="shared" si="154"/>
        <v>200000</v>
      </c>
      <c r="M323" s="22">
        <f t="shared" si="154"/>
        <v>170478</v>
      </c>
      <c r="N323" s="22">
        <f t="shared" si="154"/>
        <v>29522</v>
      </c>
      <c r="O323" s="22">
        <f t="shared" si="154"/>
        <v>0</v>
      </c>
      <c r="P323" s="229">
        <f t="shared" si="154"/>
        <v>29522</v>
      </c>
      <c r="Q323" s="32"/>
      <c r="R323" s="229">
        <f>SUM(R324:R324)</f>
        <v>0</v>
      </c>
      <c r="S323" s="229">
        <f>SUM(S324:S324)</f>
        <v>0</v>
      </c>
      <c r="T323" s="22">
        <f>SUM(T324:T324)</f>
        <v>0</v>
      </c>
      <c r="U323" s="154">
        <f>+IFERROR((R323/N323),0%)</f>
        <v>0</v>
      </c>
    </row>
    <row r="324" spans="1:33" ht="15" customHeight="1" x14ac:dyDescent="0.2">
      <c r="A324" s="95"/>
      <c r="B324" s="314" t="s">
        <v>26</v>
      </c>
      <c r="C324" s="269" t="s">
        <v>24</v>
      </c>
      <c r="D324" s="39">
        <v>213406</v>
      </c>
      <c r="E324" s="269">
        <v>3</v>
      </c>
      <c r="F324" s="313">
        <v>188</v>
      </c>
      <c r="G324" s="40" t="str">
        <f>CONCATENATE(D324,"-",E324,"-",F324)</f>
        <v>213406-3-188</v>
      </c>
      <c r="H324" s="32">
        <f>IFERROR(VLOOKUP(G324,'Base Zero'!A:L,6,FALSE),0)</f>
        <v>0</v>
      </c>
      <c r="I324" s="32">
        <f>IFERROR(VLOOKUP(G324,'Base Zero'!A:L,7,FALSE),0)</f>
        <v>0</v>
      </c>
      <c r="J324" s="23">
        <f>(H324+I324)</f>
        <v>0</v>
      </c>
      <c r="K324" s="32">
        <f>(L324-J324)</f>
        <v>200000</v>
      </c>
      <c r="L324" s="32">
        <f>IFERROR(VLOOKUP(G324,'Base Zero'!$A:$L,10,FALSE),0)</f>
        <v>200000</v>
      </c>
      <c r="M324" s="32">
        <f>+L324-N324</f>
        <v>170478</v>
      </c>
      <c r="N324" s="32">
        <f>IFERROR(VLOOKUP(G324,'Base Zero'!$A:$P,16,FALSE),0)</f>
        <v>29522</v>
      </c>
      <c r="O324" s="32">
        <f>IFERROR(VLOOKUP(G324,'Base Execução'!A:M,6,FALSE),0)+IFERROR(VLOOKUP(G324,'Destaque Liberado pela CPRM'!A:F,6,FALSE),0)</f>
        <v>0</v>
      </c>
      <c r="P324" s="231">
        <f>+N324-O324</f>
        <v>29522</v>
      </c>
      <c r="Q324" s="32"/>
      <c r="R324" s="231">
        <f>IFERROR(VLOOKUP(G324,'Base Execução'!$A:$K,7,FALSE),0)</f>
        <v>0</v>
      </c>
      <c r="S324" s="231">
        <f>IFERROR(VLOOKUP(G324,'Base Execução'!$A:$K,9,FALSE),0)</f>
        <v>0</v>
      </c>
      <c r="T324" s="32">
        <f>IFERROR(VLOOKUP(G324,'Base Execução'!$A:$K,11,FALSE),0)</f>
        <v>0</v>
      </c>
      <c r="U324" s="155"/>
    </row>
    <row r="325" spans="1:33" ht="15" customHeight="1" x14ac:dyDescent="0.2">
      <c r="A325" s="95"/>
      <c r="B325" s="314"/>
      <c r="C325" s="269"/>
      <c r="D325" s="39"/>
      <c r="E325" s="269"/>
      <c r="F325" s="313"/>
      <c r="G325" s="40"/>
      <c r="H325" s="32"/>
      <c r="I325" s="32"/>
      <c r="J325" s="23"/>
      <c r="K325" s="32"/>
      <c r="L325" s="32"/>
      <c r="M325" s="32"/>
      <c r="N325" s="32"/>
      <c r="O325" s="32"/>
      <c r="P325" s="231"/>
      <c r="Q325" s="32"/>
      <c r="R325" s="231"/>
      <c r="S325" s="231"/>
      <c r="T325" s="32"/>
      <c r="U325" s="155"/>
    </row>
    <row r="326" spans="1:33" s="11" customFormat="1" ht="15" customHeight="1" x14ac:dyDescent="0.2">
      <c r="A326" s="95"/>
      <c r="B326" s="312"/>
      <c r="C326" s="48"/>
      <c r="D326" s="49"/>
      <c r="E326" s="48"/>
      <c r="F326" s="317"/>
      <c r="G326" s="49"/>
      <c r="H326" s="42"/>
      <c r="I326" s="42"/>
      <c r="J326" s="24"/>
      <c r="K326" s="42"/>
      <c r="L326" s="42"/>
      <c r="M326" s="42"/>
      <c r="N326" s="42"/>
      <c r="O326" s="42"/>
      <c r="P326" s="265"/>
      <c r="Q326" s="35"/>
      <c r="R326" s="265"/>
      <c r="S326" s="265"/>
      <c r="T326" s="42"/>
      <c r="U326" s="300"/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24.95" customHeight="1" x14ac:dyDescent="0.2">
      <c r="A327" s="272"/>
      <c r="B327" s="20" t="s">
        <v>282</v>
      </c>
      <c r="C327" s="269"/>
      <c r="D327" s="39"/>
      <c r="E327" s="269"/>
      <c r="F327" s="44"/>
      <c r="G327" s="269"/>
      <c r="H327" s="22">
        <f>SUM(H329:H330)</f>
        <v>10700000</v>
      </c>
      <c r="I327" s="22">
        <f t="shared" ref="I327:T327" si="155">SUM(I329:I330)</f>
        <v>0</v>
      </c>
      <c r="J327" s="22">
        <f t="shared" si="155"/>
        <v>10700000</v>
      </c>
      <c r="K327" s="22">
        <f t="shared" si="155"/>
        <v>789000</v>
      </c>
      <c r="L327" s="22">
        <f t="shared" si="155"/>
        <v>11489000</v>
      </c>
      <c r="M327" s="22">
        <f t="shared" si="155"/>
        <v>0</v>
      </c>
      <c r="N327" s="22">
        <f t="shared" si="155"/>
        <v>11489000</v>
      </c>
      <c r="O327" s="22">
        <f t="shared" si="155"/>
        <v>10891434.620000001</v>
      </c>
      <c r="P327" s="22">
        <f t="shared" si="155"/>
        <v>597565.37999999989</v>
      </c>
      <c r="Q327" s="22">
        <f t="shared" si="155"/>
        <v>0</v>
      </c>
      <c r="R327" s="22">
        <f t="shared" si="155"/>
        <v>9706436.8500000015</v>
      </c>
      <c r="S327" s="22">
        <f t="shared" si="155"/>
        <v>2852387.1799999997</v>
      </c>
      <c r="T327" s="22">
        <f t="shared" si="155"/>
        <v>2460534.64</v>
      </c>
      <c r="U327" s="156">
        <f>+IFERROR((R327/N327),0%)</f>
        <v>0.8448461006179826</v>
      </c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294" t="s">
        <v>327</v>
      </c>
      <c r="C328" s="269"/>
      <c r="D328" s="39"/>
      <c r="E328" s="269"/>
      <c r="F328" s="44"/>
      <c r="G328" s="269"/>
      <c r="H328" s="31"/>
      <c r="I328" s="31"/>
      <c r="J328" s="31"/>
      <c r="K328" s="31"/>
      <c r="L328" s="31"/>
      <c r="M328" s="31"/>
      <c r="N328" s="31"/>
      <c r="O328" s="31"/>
      <c r="P328" s="232"/>
      <c r="Q328" s="35"/>
      <c r="R328" s="232"/>
      <c r="S328" s="232"/>
      <c r="T328" s="31"/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23</v>
      </c>
      <c r="C329" s="269" t="s">
        <v>24</v>
      </c>
      <c r="D329" s="39"/>
      <c r="E329" s="269">
        <v>3</v>
      </c>
      <c r="F329" s="44">
        <v>142</v>
      </c>
      <c r="G329" s="39"/>
      <c r="H329" s="31">
        <f>H334+H338+H342+H345+H348+H351</f>
        <v>8700000</v>
      </c>
      <c r="I329" s="31">
        <f t="shared" ref="I329:T329" si="156">I334+I338+I342+I345+I348+I351</f>
        <v>0</v>
      </c>
      <c r="J329" s="31">
        <f t="shared" si="156"/>
        <v>8700000</v>
      </c>
      <c r="K329" s="31">
        <f t="shared" si="156"/>
        <v>789000</v>
      </c>
      <c r="L329" s="31">
        <f t="shared" si="156"/>
        <v>9489000</v>
      </c>
      <c r="M329" s="31">
        <f t="shared" si="156"/>
        <v>0</v>
      </c>
      <c r="N329" s="31">
        <f t="shared" si="156"/>
        <v>9489000</v>
      </c>
      <c r="O329" s="31">
        <f t="shared" si="156"/>
        <v>8914026.370000001</v>
      </c>
      <c r="P329" s="31">
        <f t="shared" si="156"/>
        <v>574973.62999999989</v>
      </c>
      <c r="Q329" s="31">
        <f t="shared" si="156"/>
        <v>0</v>
      </c>
      <c r="R329" s="31">
        <f t="shared" si="156"/>
        <v>7846052.6000000015</v>
      </c>
      <c r="S329" s="31">
        <f t="shared" si="156"/>
        <v>2653608.9299999997</v>
      </c>
      <c r="T329" s="31">
        <f t="shared" si="156"/>
        <v>2262611.64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4" t="s">
        <v>26</v>
      </c>
      <c r="C330" s="269" t="s">
        <v>27</v>
      </c>
      <c r="D330" s="39"/>
      <c r="E330" s="269">
        <v>4</v>
      </c>
      <c r="F330" s="44">
        <v>142</v>
      </c>
      <c r="G330" s="39"/>
      <c r="H330" s="31">
        <f>H335+H339</f>
        <v>2000000</v>
      </c>
      <c r="I330" s="31">
        <f t="shared" ref="I330:T330" si="157">I335+I339</f>
        <v>0</v>
      </c>
      <c r="J330" s="31">
        <f t="shared" si="157"/>
        <v>2000000</v>
      </c>
      <c r="K330" s="31">
        <f t="shared" si="157"/>
        <v>0</v>
      </c>
      <c r="L330" s="31">
        <f t="shared" si="157"/>
        <v>2000000</v>
      </c>
      <c r="M330" s="31">
        <f t="shared" si="157"/>
        <v>0</v>
      </c>
      <c r="N330" s="31">
        <f t="shared" si="157"/>
        <v>2000000</v>
      </c>
      <c r="O330" s="31">
        <f t="shared" si="157"/>
        <v>1977408.25</v>
      </c>
      <c r="P330" s="31">
        <f t="shared" si="157"/>
        <v>22591.75</v>
      </c>
      <c r="Q330" s="31">
        <f>Q335</f>
        <v>0</v>
      </c>
      <c r="R330" s="31">
        <f t="shared" si="157"/>
        <v>1860384.25</v>
      </c>
      <c r="S330" s="31">
        <f t="shared" si="157"/>
        <v>198778.25</v>
      </c>
      <c r="T330" s="31">
        <f t="shared" si="157"/>
        <v>197923</v>
      </c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02"/>
      <c r="C331" s="269"/>
      <c r="D331" s="39"/>
      <c r="E331" s="269"/>
      <c r="F331" s="44"/>
      <c r="G331" s="26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" customHeight="1" x14ac:dyDescent="0.2">
      <c r="A332" s="272"/>
      <c r="B332" s="424" t="s">
        <v>283</v>
      </c>
      <c r="C332" s="269"/>
      <c r="D332" s="281"/>
      <c r="E332" s="269"/>
      <c r="F332" s="44"/>
      <c r="G332" s="39"/>
      <c r="H332" s="31"/>
      <c r="I332" s="31"/>
      <c r="J332" s="28"/>
      <c r="K332" s="31"/>
      <c r="L332" s="31"/>
      <c r="M332" s="31"/>
      <c r="N332" s="31"/>
      <c r="O332" s="31"/>
      <c r="P332" s="232"/>
      <c r="Q332" s="35"/>
      <c r="R332" s="232"/>
      <c r="S332" s="232"/>
      <c r="T332" s="31"/>
      <c r="U332" s="298"/>
    </row>
    <row r="333" spans="1:33" ht="15" customHeight="1" x14ac:dyDescent="0.2">
      <c r="A333" s="272"/>
      <c r="B333" s="38" t="s">
        <v>221</v>
      </c>
      <c r="C333" s="308"/>
      <c r="D333" s="307"/>
      <c r="E333" s="308"/>
      <c r="F333" s="303"/>
      <c r="G333" s="39"/>
      <c r="H333" s="30">
        <f t="shared" ref="H333:T333" si="158">SUM(H334:H335)</f>
        <v>3190000</v>
      </c>
      <c r="I333" s="30">
        <f t="shared" si="158"/>
        <v>0</v>
      </c>
      <c r="J333" s="30">
        <f t="shared" si="158"/>
        <v>3190000</v>
      </c>
      <c r="K333" s="30">
        <f t="shared" si="158"/>
        <v>2050000</v>
      </c>
      <c r="L333" s="30">
        <f t="shared" si="158"/>
        <v>5240000</v>
      </c>
      <c r="M333" s="30">
        <f t="shared" si="158"/>
        <v>0</v>
      </c>
      <c r="N333" s="30">
        <f t="shared" si="158"/>
        <v>5240000</v>
      </c>
      <c r="O333" s="30">
        <f t="shared" si="158"/>
        <v>5014430.12</v>
      </c>
      <c r="P333" s="30">
        <f t="shared" si="158"/>
        <v>225569.87999999989</v>
      </c>
      <c r="Q333" s="30">
        <f t="shared" si="158"/>
        <v>0</v>
      </c>
      <c r="R333" s="30">
        <f t="shared" si="158"/>
        <v>4846723.7</v>
      </c>
      <c r="S333" s="30">
        <f t="shared" si="158"/>
        <v>1051267.56</v>
      </c>
      <c r="T333" s="30">
        <f t="shared" si="158"/>
        <v>1010324.48</v>
      </c>
      <c r="U333" s="154">
        <f>+IFERROR((R333/N333),0%)</f>
        <v>0.9249472709923664</v>
      </c>
    </row>
    <row r="334" spans="1:33" ht="15" customHeight="1" x14ac:dyDescent="0.2">
      <c r="A334" s="272"/>
      <c r="B334" s="34" t="s">
        <v>26</v>
      </c>
      <c r="C334" s="308" t="s">
        <v>24</v>
      </c>
      <c r="D334" s="281">
        <v>174242</v>
      </c>
      <c r="E334" s="308">
        <v>3</v>
      </c>
      <c r="F334" s="220">
        <v>142</v>
      </c>
      <c r="G334" s="39" t="str">
        <f>CONCATENATE(D334,"-",E334,"-",F334)</f>
        <v>174242-3-142</v>
      </c>
      <c r="H334" s="31">
        <f>IFERROR(VLOOKUP(G334,'Base Zero'!A:L,6,FALSE),0)</f>
        <v>1490000</v>
      </c>
      <c r="I334" s="31">
        <f>IFERROR(VLOOKUP(G334,'Base Zero'!A:L,7,FALSE),0)</f>
        <v>0</v>
      </c>
      <c r="J334" s="28">
        <f>(H334+I334)</f>
        <v>1490000</v>
      </c>
      <c r="K334" s="31">
        <f>(L334-J334)</f>
        <v>2050000</v>
      </c>
      <c r="L334" s="31">
        <f>IFERROR(VLOOKUP(G334,'Base Zero'!$A:$L,10,FALSE),0)</f>
        <v>3540000</v>
      </c>
      <c r="M334" s="31">
        <f>+L334-N334</f>
        <v>0</v>
      </c>
      <c r="N334" s="32">
        <f>IFERROR(VLOOKUP(G334,'Base Zero'!$A:$P,16,FALSE),0)</f>
        <v>3540000</v>
      </c>
      <c r="O334" s="32">
        <f>IFERROR(VLOOKUP(G334,'Base Execução'!A:M,6,FALSE),0)+IFERROR(VLOOKUP(G334,'Destaque Liberado pela CPRM'!A:F,6,FALSE),0)</f>
        <v>3336741.87</v>
      </c>
      <c r="P334" s="232">
        <f>+N334-O334</f>
        <v>203258.12999999989</v>
      </c>
      <c r="Q334" s="35"/>
      <c r="R334" s="231">
        <f>IFERROR(VLOOKUP(G334,'Base Execução'!$A:$K,7,FALSE),0)</f>
        <v>3286059.45</v>
      </c>
      <c r="S334" s="231">
        <f>IFERROR(VLOOKUP(G334,'Base Execução'!$A:$K,9,FALSE),0)</f>
        <v>852489.31</v>
      </c>
      <c r="T334" s="32">
        <f>IFERROR(VLOOKUP(G334,'Base Execução'!$A:$K,11,FALSE),0)</f>
        <v>812401.48</v>
      </c>
      <c r="U334" s="298"/>
    </row>
    <row r="335" spans="1:33" ht="15" customHeight="1" x14ac:dyDescent="0.2">
      <c r="A335" s="272"/>
      <c r="B335" s="34" t="s">
        <v>26</v>
      </c>
      <c r="C335" s="269" t="s">
        <v>27</v>
      </c>
      <c r="D335" s="281">
        <v>174242</v>
      </c>
      <c r="E335" s="269">
        <v>4</v>
      </c>
      <c r="F335" s="44">
        <v>142</v>
      </c>
      <c r="G335" s="39" t="str">
        <f>CONCATENATE(D335,"-",E335,"-",F335)</f>
        <v>174242-4-142</v>
      </c>
      <c r="H335" s="31">
        <f>IFERROR(VLOOKUP(G335,'Base Zero'!A:L,6,FALSE),0)</f>
        <v>1700000</v>
      </c>
      <c r="I335" s="31">
        <f>IFERROR(VLOOKUP(G335,'Base Zero'!A:L,7,FALSE),0)</f>
        <v>0</v>
      </c>
      <c r="J335" s="28">
        <f>(H335+I335)</f>
        <v>1700000</v>
      </c>
      <c r="K335" s="31">
        <f>(L335-J335)</f>
        <v>0</v>
      </c>
      <c r="L335" s="31">
        <f>IFERROR(VLOOKUP(G335,'Base Zero'!$A:$L,10,FALSE),0)</f>
        <v>1700000</v>
      </c>
      <c r="M335" s="31">
        <f>+L335-N335</f>
        <v>0</v>
      </c>
      <c r="N335" s="32">
        <f>IFERROR(VLOOKUP(G335,'Base Zero'!$A:$P,16,FALSE),0)</f>
        <v>1700000</v>
      </c>
      <c r="O335" s="32">
        <f>IFERROR(VLOOKUP(G335,'Base Execução'!A:M,6,FALSE),0)+IFERROR(VLOOKUP(G335,'Destaque Liberado pela CPRM'!A:F,6,FALSE),0)</f>
        <v>1677688.25</v>
      </c>
      <c r="P335" s="232">
        <f>+N335-O335</f>
        <v>22311.75</v>
      </c>
      <c r="Q335" s="35"/>
      <c r="R335" s="231">
        <f>IFERROR(VLOOKUP(G335,'Base Execução'!$A:$K,7,FALSE),0)</f>
        <v>1560664.25</v>
      </c>
      <c r="S335" s="231">
        <f>IFERROR(VLOOKUP(G335,'Base Execução'!$A:$K,9,FALSE),0)</f>
        <v>198778.25</v>
      </c>
      <c r="T335" s="32">
        <f>IFERROR(VLOOKUP(G335,'Base Execução'!$A:$K,11,FALSE),0)</f>
        <v>197923</v>
      </c>
      <c r="U335" s="298"/>
    </row>
    <row r="336" spans="1:33" s="11" customFormat="1" ht="15" customHeight="1" x14ac:dyDescent="0.2">
      <c r="A336" s="272"/>
      <c r="B336" s="424" t="s">
        <v>284</v>
      </c>
      <c r="C336" s="269"/>
      <c r="D336" s="39"/>
      <c r="E336" s="269"/>
      <c r="F336" s="44"/>
      <c r="G336" s="269"/>
      <c r="H336" s="31"/>
      <c r="I336" s="31"/>
      <c r="J336" s="28"/>
      <c r="K336" s="31"/>
      <c r="L336" s="31"/>
      <c r="M336" s="31"/>
      <c r="N336" s="31"/>
      <c r="O336" s="31"/>
      <c r="P336" s="232"/>
      <c r="Q336" s="35"/>
      <c r="R336" s="232"/>
      <c r="S336" s="232"/>
      <c r="T336" s="31"/>
      <c r="U336" s="298"/>
      <c r="V336" s="364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" customHeight="1" x14ac:dyDescent="0.2">
      <c r="A337" s="272"/>
      <c r="B337" s="38" t="s">
        <v>223</v>
      </c>
      <c r="C337" s="269"/>
      <c r="D337" s="39"/>
      <c r="E337" s="269"/>
      <c r="F337" s="303"/>
      <c r="G337" s="35"/>
      <c r="H337" s="22">
        <f>SUM(H338:H339)</f>
        <v>1200000</v>
      </c>
      <c r="I337" s="22">
        <f t="shared" ref="I337:P337" si="159">SUM(I338:I339)</f>
        <v>0</v>
      </c>
      <c r="J337" s="22">
        <f t="shared" si="159"/>
        <v>1200000</v>
      </c>
      <c r="K337" s="22">
        <f t="shared" si="159"/>
        <v>-400000</v>
      </c>
      <c r="L337" s="22">
        <f t="shared" si="159"/>
        <v>800000</v>
      </c>
      <c r="M337" s="22">
        <f t="shared" si="159"/>
        <v>0</v>
      </c>
      <c r="N337" s="22">
        <f t="shared" si="159"/>
        <v>800000</v>
      </c>
      <c r="O337" s="22">
        <f t="shared" si="159"/>
        <v>616554.56000000006</v>
      </c>
      <c r="P337" s="22">
        <f t="shared" si="159"/>
        <v>183445.44</v>
      </c>
      <c r="Q337" s="22">
        <f>SUM(Q338:Q338)</f>
        <v>0</v>
      </c>
      <c r="R337" s="22">
        <f>SUM(R338:R339)</f>
        <v>601188.04</v>
      </c>
      <c r="S337" s="22">
        <f>SUM(S338:S339)</f>
        <v>212751.99</v>
      </c>
      <c r="T337" s="22">
        <f>SUM(T338:T339)</f>
        <v>206188.32</v>
      </c>
      <c r="U337" s="154">
        <f>+IFERROR((R337/N337),0%)</f>
        <v>0.7514850500000001</v>
      </c>
    </row>
    <row r="338" spans="1:33" ht="15" customHeight="1" x14ac:dyDescent="0.2">
      <c r="A338" s="272"/>
      <c r="B338" s="34" t="s">
        <v>26</v>
      </c>
      <c r="C338" s="269" t="s">
        <v>24</v>
      </c>
      <c r="D338" s="281">
        <v>174249</v>
      </c>
      <c r="E338" s="269">
        <v>3</v>
      </c>
      <c r="F338" s="44">
        <v>142</v>
      </c>
      <c r="G338" s="39" t="str">
        <f>CONCATENATE(D338,"-",E338,"-",F338)</f>
        <v>174249-3-142</v>
      </c>
      <c r="H338" s="31">
        <f>IFERROR(VLOOKUP(G338,'Base Zero'!A:L,6,FALSE),0)</f>
        <v>900000</v>
      </c>
      <c r="I338" s="31">
        <f>IFERROR(VLOOKUP(G338,'Base Zero'!A:L,7,FALSE),0)</f>
        <v>0</v>
      </c>
      <c r="J338" s="28">
        <f>(H338+I338)</f>
        <v>900000</v>
      </c>
      <c r="K338" s="31">
        <f>(L338-J338)</f>
        <v>-400000</v>
      </c>
      <c r="L338" s="31">
        <f>IFERROR(VLOOKUP(G338,'Base Zero'!$A:$L,10,FALSE),0)</f>
        <v>500000</v>
      </c>
      <c r="M338" s="31">
        <f>+L338-N338</f>
        <v>0</v>
      </c>
      <c r="N338" s="32">
        <f>IFERROR(VLOOKUP(G338,'Base Zero'!$A:$P,16,FALSE),0)</f>
        <v>500000</v>
      </c>
      <c r="O338" s="32">
        <f>IFERROR(VLOOKUP(G338,'Base Execução'!A:M,6,FALSE),0)+IFERROR(VLOOKUP(G338,'Destaque Liberado pela CPRM'!A:F,6,FALSE),0)</f>
        <v>316834.56</v>
      </c>
      <c r="P338" s="232">
        <f>+N338-O338</f>
        <v>183165.44</v>
      </c>
      <c r="Q338" s="31"/>
      <c r="R338" s="231">
        <f>IFERROR(VLOOKUP(G338,'Base Execução'!$A:$K,7,FALSE),0)</f>
        <v>301468.03999999998</v>
      </c>
      <c r="S338" s="231">
        <f>IFERROR(VLOOKUP(G338,'Base Execução'!$A:$K,9,FALSE),0)</f>
        <v>212751.99</v>
      </c>
      <c r="T338" s="32">
        <f>IFERROR(VLOOKUP(G338,'Base Execução'!$A:$K,11,FALSE),0)</f>
        <v>206188.32</v>
      </c>
      <c r="U338" s="298"/>
    </row>
    <row r="339" spans="1:33" ht="15" customHeight="1" x14ac:dyDescent="0.2">
      <c r="A339" s="272"/>
      <c r="B339" s="34" t="s">
        <v>26</v>
      </c>
      <c r="C339" s="269" t="s">
        <v>27</v>
      </c>
      <c r="D339" s="281">
        <v>174249</v>
      </c>
      <c r="E339" s="269">
        <v>4</v>
      </c>
      <c r="F339" s="44">
        <v>142</v>
      </c>
      <c r="G339" s="39" t="str">
        <f>CONCATENATE(D339,"-",E339,"-",F339)</f>
        <v>174249-4-142</v>
      </c>
      <c r="H339" s="31">
        <f>IFERROR(VLOOKUP(G339,'Base Zero'!A:L,6,FALSE),0)</f>
        <v>300000</v>
      </c>
      <c r="I339" s="31">
        <f>IFERROR(VLOOKUP(G339,'Base Zero'!A:L,7,FALSE),0)</f>
        <v>0</v>
      </c>
      <c r="J339" s="28">
        <f>(H339+I339)</f>
        <v>300000</v>
      </c>
      <c r="K339" s="31">
        <f>(L339-J339)</f>
        <v>0</v>
      </c>
      <c r="L339" s="31">
        <f>IFERROR(VLOOKUP(G339,'Base Zero'!$A:$L,10,FALSE),0)</f>
        <v>300000</v>
      </c>
      <c r="M339" s="31">
        <f>+L339-N339</f>
        <v>0</v>
      </c>
      <c r="N339" s="32">
        <f>IFERROR(VLOOKUP(G339,'Base Zero'!$A:$P,16,FALSE),0)</f>
        <v>300000</v>
      </c>
      <c r="O339" s="32">
        <f>IFERROR(VLOOKUP(G339,'Base Execução'!A:M,6,FALSE),0)+IFERROR(VLOOKUP(G339,'Destaque Liberado pela CPRM'!A:F,6,FALSE),0)</f>
        <v>299720</v>
      </c>
      <c r="P339" s="232">
        <f>+N339-O339</f>
        <v>280</v>
      </c>
      <c r="Q339" s="31"/>
      <c r="R339" s="231">
        <f>IFERROR(VLOOKUP(G339,'Base Execução'!$A:$K,7,FALSE),0)</f>
        <v>299720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24.95" customHeight="1" x14ac:dyDescent="0.2">
      <c r="A340" s="272"/>
      <c r="B340" s="424" t="s">
        <v>285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1"/>
      <c r="R340" s="232"/>
      <c r="S340" s="232"/>
      <c r="T340" s="31"/>
      <c r="U340" s="298"/>
    </row>
    <row r="341" spans="1:33" ht="15" customHeight="1" x14ac:dyDescent="0.2">
      <c r="A341" s="272"/>
      <c r="B341" s="38" t="s">
        <v>222</v>
      </c>
      <c r="C341" s="269"/>
      <c r="D341" s="304"/>
      <c r="E341" s="305"/>
      <c r="F341" s="306"/>
      <c r="G341" s="39"/>
      <c r="H341" s="22">
        <f t="shared" ref="H341:T341" si="160">SUM(H342:H342)</f>
        <v>980000</v>
      </c>
      <c r="I341" s="22">
        <f t="shared" si="160"/>
        <v>0</v>
      </c>
      <c r="J341" s="22">
        <f t="shared" si="160"/>
        <v>980000</v>
      </c>
      <c r="K341" s="22">
        <f t="shared" si="160"/>
        <v>-153000</v>
      </c>
      <c r="L341" s="22">
        <f t="shared" si="160"/>
        <v>827000</v>
      </c>
      <c r="M341" s="22">
        <f t="shared" si="160"/>
        <v>0</v>
      </c>
      <c r="N341" s="22">
        <f t="shared" si="160"/>
        <v>827000</v>
      </c>
      <c r="O341" s="22">
        <f t="shared" si="160"/>
        <v>692067.01</v>
      </c>
      <c r="P341" s="229">
        <f t="shared" si="160"/>
        <v>134932.99</v>
      </c>
      <c r="Q341" s="22">
        <f t="shared" si="160"/>
        <v>0</v>
      </c>
      <c r="R341" s="22">
        <f t="shared" si="160"/>
        <v>624036.31999999995</v>
      </c>
      <c r="S341" s="22">
        <f t="shared" si="160"/>
        <v>457943.07</v>
      </c>
      <c r="T341" s="22">
        <f t="shared" si="160"/>
        <v>431380.09</v>
      </c>
      <c r="U341" s="154">
        <f>+IFERROR((R341/N341),0%)</f>
        <v>0.75457837968561059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174254</v>
      </c>
      <c r="E342" s="269">
        <v>3</v>
      </c>
      <c r="F342" s="44">
        <v>142</v>
      </c>
      <c r="G342" s="39" t="str">
        <f>CONCATENATE(D342,"-",E342,"-",F342)</f>
        <v>174254-3-142</v>
      </c>
      <c r="H342" s="31">
        <f>IFERROR(VLOOKUP(G342,'Base Zero'!A:L,6,FALSE),0)</f>
        <v>980000</v>
      </c>
      <c r="I342" s="31">
        <f>IFERROR(VLOOKUP(G342,'Base Zero'!A:L,7,FALSE),0)</f>
        <v>0</v>
      </c>
      <c r="J342" s="28">
        <f>(H342+I342)</f>
        <v>980000</v>
      </c>
      <c r="K342" s="31">
        <f>(L342-J342)</f>
        <v>-153000</v>
      </c>
      <c r="L342" s="31">
        <f>IFERROR(VLOOKUP(G342,'Base Zero'!$A:$L,10,FALSE),0)</f>
        <v>827000</v>
      </c>
      <c r="M342" s="31">
        <f>+L342-N342</f>
        <v>0</v>
      </c>
      <c r="N342" s="32">
        <f>IFERROR(VLOOKUP(G342,'Base Zero'!$A:$P,16,FALSE),0)</f>
        <v>827000</v>
      </c>
      <c r="O342" s="32">
        <f>IFERROR(VLOOKUP(G342,'Base Execução'!A:M,6,FALSE),0)+IFERROR(VLOOKUP(G342,'Destaque Liberado pela CPRM'!A:F,6,FALSE),0)</f>
        <v>692067.01</v>
      </c>
      <c r="P342" s="232">
        <f>+N342-O342</f>
        <v>134932.99</v>
      </c>
      <c r="Q342" s="35"/>
      <c r="R342" s="231">
        <f>IFERROR(VLOOKUP(G342,'Base Execução'!$A:$K,7,FALSE),0)</f>
        <v>624036.31999999995</v>
      </c>
      <c r="S342" s="231">
        <f>IFERROR(VLOOKUP(G342,'Base Execução'!$A:$K,9,FALSE),0)</f>
        <v>457943.07</v>
      </c>
      <c r="T342" s="32">
        <f>IFERROR(VLOOKUP(G342,'Base Execução'!$A:$K,11,FALSE),0)</f>
        <v>431380.09</v>
      </c>
      <c r="U342" s="298"/>
    </row>
    <row r="343" spans="1:33" ht="15" customHeight="1" x14ac:dyDescent="0.2">
      <c r="A343" s="272"/>
      <c r="B343" s="424" t="s">
        <v>286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133</v>
      </c>
      <c r="C344" s="269"/>
      <c r="D344" s="36"/>
      <c r="E344" s="269"/>
      <c r="F344" s="303"/>
      <c r="G344" s="39"/>
      <c r="H344" s="22">
        <f t="shared" ref="H344:T344" si="161">SUM(H345:H345)</f>
        <v>1685000</v>
      </c>
      <c r="I344" s="22">
        <f t="shared" si="161"/>
        <v>0</v>
      </c>
      <c r="J344" s="22">
        <f t="shared" si="161"/>
        <v>1685000</v>
      </c>
      <c r="K344" s="22">
        <f t="shared" si="161"/>
        <v>-107000</v>
      </c>
      <c r="L344" s="22">
        <f t="shared" si="161"/>
        <v>1578000</v>
      </c>
      <c r="M344" s="22">
        <f t="shared" si="161"/>
        <v>0</v>
      </c>
      <c r="N344" s="22">
        <f t="shared" si="161"/>
        <v>1578000</v>
      </c>
      <c r="O344" s="22">
        <f t="shared" si="161"/>
        <v>1577999.76</v>
      </c>
      <c r="P344" s="229">
        <f t="shared" si="161"/>
        <v>0.23999999999068677</v>
      </c>
      <c r="Q344" s="22">
        <f t="shared" si="161"/>
        <v>0</v>
      </c>
      <c r="R344" s="22">
        <f t="shared" si="161"/>
        <v>1227197.73</v>
      </c>
      <c r="S344" s="22">
        <f t="shared" si="161"/>
        <v>601583.86</v>
      </c>
      <c r="T344" s="22">
        <f t="shared" si="161"/>
        <v>500175.12</v>
      </c>
      <c r="U344" s="154">
        <f>+IFERROR((R344/N344),0%)</f>
        <v>0.77769184410646386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174260</v>
      </c>
      <c r="E345" s="269">
        <v>3</v>
      </c>
      <c r="F345" s="44">
        <v>142</v>
      </c>
      <c r="G345" s="39" t="str">
        <f>CONCATENATE(D345,"-",E345,"-",F345)</f>
        <v>174260-3-142</v>
      </c>
      <c r="H345" s="31">
        <f>IFERROR(VLOOKUP(G345,'Base Zero'!A:L,6,FALSE),0)</f>
        <v>1685000</v>
      </c>
      <c r="I345" s="31">
        <f>IFERROR(VLOOKUP(G345,'Base Zero'!A:L,7,FALSE),0)</f>
        <v>0</v>
      </c>
      <c r="J345" s="28">
        <f>(H345+I345)</f>
        <v>1685000</v>
      </c>
      <c r="K345" s="31">
        <f>(L345-J345)</f>
        <v>-107000</v>
      </c>
      <c r="L345" s="31">
        <f>IFERROR(VLOOKUP(G345,'Base Zero'!$A:$L,10,FALSE),0)</f>
        <v>1578000</v>
      </c>
      <c r="M345" s="31">
        <f>+L345-N345</f>
        <v>0</v>
      </c>
      <c r="N345" s="32">
        <f>IFERROR(VLOOKUP(G345,'Base Zero'!$A:$P,16,FALSE),0)</f>
        <v>1578000</v>
      </c>
      <c r="O345" s="32">
        <f>IFERROR(VLOOKUP(G345,'Base Execução'!A:M,6,FALSE),0)+IFERROR(VLOOKUP(G345,'Destaque Liberado pela CPRM'!A:F,6,FALSE),0)</f>
        <v>1577999.76</v>
      </c>
      <c r="P345" s="232">
        <f>+N345-O345</f>
        <v>0.23999999999068677</v>
      </c>
      <c r="Q345" s="35"/>
      <c r="R345" s="231">
        <f>IFERROR(VLOOKUP(G345,'Base Execução'!$A:$K,7,FALSE),0)</f>
        <v>1227197.73</v>
      </c>
      <c r="S345" s="231">
        <f>IFERROR(VLOOKUP(G345,'Base Execução'!$A:$K,9,FALSE),0)</f>
        <v>601583.86</v>
      </c>
      <c r="T345" s="32">
        <f>IFERROR(VLOOKUP(G345,'Base Execução'!$A:$K,11,FALSE),0)</f>
        <v>500175.12</v>
      </c>
      <c r="U345" s="298"/>
    </row>
    <row r="346" spans="1:33" ht="15" customHeight="1" x14ac:dyDescent="0.2">
      <c r="A346" s="272"/>
      <c r="B346" s="424" t="s">
        <v>163</v>
      </c>
      <c r="C346" s="269"/>
      <c r="D346" s="281"/>
      <c r="E346" s="269"/>
      <c r="F346" s="44"/>
      <c r="G346" s="39"/>
      <c r="H346" s="31"/>
      <c r="I346" s="31"/>
      <c r="J346" s="28"/>
      <c r="K346" s="31"/>
      <c r="L346" s="31"/>
      <c r="M346" s="31"/>
      <c r="N346" s="31"/>
      <c r="O346" s="31"/>
      <c r="P346" s="232"/>
      <c r="Q346" s="35"/>
      <c r="R346" s="232"/>
      <c r="S346" s="232"/>
      <c r="T346" s="31"/>
      <c r="U346" s="298"/>
    </row>
    <row r="347" spans="1:33" ht="15" customHeight="1" x14ac:dyDescent="0.2">
      <c r="A347" s="272"/>
      <c r="B347" s="38" t="s">
        <v>165</v>
      </c>
      <c r="C347" s="269"/>
      <c r="D347" s="36"/>
      <c r="E347" s="269"/>
      <c r="F347" s="303"/>
      <c r="G347" s="39"/>
      <c r="H347" s="22">
        <f t="shared" ref="H347:T347" si="162">SUM(H348:H348)</f>
        <v>695000</v>
      </c>
      <c r="I347" s="22">
        <f t="shared" si="162"/>
        <v>0</v>
      </c>
      <c r="J347" s="22">
        <f t="shared" si="162"/>
        <v>695000</v>
      </c>
      <c r="K347" s="22">
        <f t="shared" si="162"/>
        <v>-292000</v>
      </c>
      <c r="L347" s="22">
        <f t="shared" si="162"/>
        <v>403000</v>
      </c>
      <c r="M347" s="22">
        <f t="shared" si="162"/>
        <v>0</v>
      </c>
      <c r="N347" s="22">
        <f t="shared" si="162"/>
        <v>403000</v>
      </c>
      <c r="O347" s="22">
        <f t="shared" si="162"/>
        <v>349383.17</v>
      </c>
      <c r="P347" s="229">
        <f t="shared" si="162"/>
        <v>53616.830000000016</v>
      </c>
      <c r="Q347" s="22">
        <f t="shared" si="162"/>
        <v>0</v>
      </c>
      <c r="R347" s="22">
        <f t="shared" si="162"/>
        <v>275958.11</v>
      </c>
      <c r="S347" s="22">
        <f t="shared" si="162"/>
        <v>214733.99</v>
      </c>
      <c r="T347" s="22">
        <f t="shared" si="162"/>
        <v>192140.53</v>
      </c>
      <c r="U347" s="154">
        <f>+IFERROR((R347/N347),0%)</f>
        <v>0.68475957816377164</v>
      </c>
    </row>
    <row r="348" spans="1:33" ht="15" customHeight="1" x14ac:dyDescent="0.2">
      <c r="A348" s="272"/>
      <c r="B348" s="34" t="s">
        <v>26</v>
      </c>
      <c r="C348" s="269" t="s">
        <v>24</v>
      </c>
      <c r="D348" s="281">
        <v>174265</v>
      </c>
      <c r="E348" s="269">
        <v>3</v>
      </c>
      <c r="F348" s="44">
        <v>142</v>
      </c>
      <c r="G348" s="39" t="str">
        <f>CONCATENATE(D348,"-",E348,"-",F348)</f>
        <v>174265-3-142</v>
      </c>
      <c r="H348" s="31">
        <f>IFERROR(VLOOKUP(G348,'Base Zero'!A:L,6,FALSE),0)</f>
        <v>695000</v>
      </c>
      <c r="I348" s="31">
        <f>IFERROR(VLOOKUP(G348,'Base Zero'!A:L,7,FALSE),0)</f>
        <v>0</v>
      </c>
      <c r="J348" s="28">
        <f>(H348+I348)</f>
        <v>695000</v>
      </c>
      <c r="K348" s="31">
        <f>(L348-J348)</f>
        <v>-292000</v>
      </c>
      <c r="L348" s="31">
        <f>IFERROR(VLOOKUP(G348,'Base Zero'!$A:$L,10,FALSE),0)</f>
        <v>403000</v>
      </c>
      <c r="M348" s="31">
        <f>(+L348-N348)</f>
        <v>0</v>
      </c>
      <c r="N348" s="32">
        <f>IFERROR(VLOOKUP(G348,'Base Zero'!$A:$P,16,FALSE),0)</f>
        <v>403000</v>
      </c>
      <c r="O348" s="32">
        <f>IFERROR(VLOOKUP(G348,'Base Execução'!A:M,6,FALSE),0)+IFERROR(VLOOKUP(G348,'Destaque Liberado pela CPRM'!A:F,6,FALSE),0)</f>
        <v>349383.17</v>
      </c>
      <c r="P348" s="232">
        <f>+N348-O348</f>
        <v>53616.830000000016</v>
      </c>
      <c r="Q348" s="35"/>
      <c r="R348" s="231">
        <f>IFERROR(VLOOKUP(G348,'Base Execução'!$A:$K,7,FALSE),0)</f>
        <v>275958.11</v>
      </c>
      <c r="S348" s="231">
        <f>IFERROR(VLOOKUP(G348,'Base Execução'!$A:$K,9,FALSE),0)</f>
        <v>214733.99</v>
      </c>
      <c r="T348" s="32">
        <f>IFERROR(VLOOKUP(G348,'Base Execução'!$A:$K,11,FALSE),0)</f>
        <v>192140.53</v>
      </c>
      <c r="U348" s="298"/>
    </row>
    <row r="349" spans="1:33" ht="15" customHeight="1" x14ac:dyDescent="0.2">
      <c r="A349" s="272"/>
      <c r="B349" s="424" t="s">
        <v>287</v>
      </c>
      <c r="C349" s="269"/>
      <c r="D349" s="281"/>
      <c r="E349" s="269"/>
      <c r="F349" s="44"/>
      <c r="G349" s="39"/>
      <c r="H349" s="31"/>
      <c r="I349" s="31"/>
      <c r="J349" s="28"/>
      <c r="K349" s="31"/>
      <c r="L349" s="31"/>
      <c r="M349" s="31"/>
      <c r="N349" s="31"/>
      <c r="O349" s="31"/>
      <c r="P349" s="232"/>
      <c r="Q349" s="35"/>
      <c r="R349" s="232"/>
      <c r="S349" s="232"/>
      <c r="T349" s="31"/>
      <c r="U349" s="298"/>
    </row>
    <row r="350" spans="1:33" ht="15" customHeight="1" x14ac:dyDescent="0.2">
      <c r="A350" s="272"/>
      <c r="B350" s="38" t="s">
        <v>164</v>
      </c>
      <c r="C350" s="269"/>
      <c r="D350" s="36"/>
      <c r="E350" s="269"/>
      <c r="F350" s="303"/>
      <c r="G350" s="39"/>
      <c r="H350" s="22">
        <f t="shared" ref="H350:T350" si="163">SUM(H351:H351)</f>
        <v>2950000</v>
      </c>
      <c r="I350" s="22">
        <f t="shared" si="163"/>
        <v>0</v>
      </c>
      <c r="J350" s="22">
        <f t="shared" si="163"/>
        <v>2950000</v>
      </c>
      <c r="K350" s="22">
        <f t="shared" si="163"/>
        <v>-309000</v>
      </c>
      <c r="L350" s="22">
        <f t="shared" si="163"/>
        <v>2641000</v>
      </c>
      <c r="M350" s="22">
        <f t="shared" si="163"/>
        <v>0</v>
      </c>
      <c r="N350" s="22">
        <f t="shared" si="163"/>
        <v>2641000</v>
      </c>
      <c r="O350" s="22">
        <f t="shared" si="163"/>
        <v>2641000</v>
      </c>
      <c r="P350" s="229">
        <f t="shared" si="163"/>
        <v>0</v>
      </c>
      <c r="Q350" s="22">
        <f t="shared" si="163"/>
        <v>0</v>
      </c>
      <c r="R350" s="22">
        <f t="shared" si="163"/>
        <v>2131332.9500000002</v>
      </c>
      <c r="S350" s="22">
        <f t="shared" si="163"/>
        <v>314106.71000000002</v>
      </c>
      <c r="T350" s="22">
        <f t="shared" si="163"/>
        <v>120326.1</v>
      </c>
      <c r="U350" s="154">
        <f>+IFERROR((R350/N350),0%)</f>
        <v>0.80701739871260891</v>
      </c>
    </row>
    <row r="351" spans="1:33" ht="15" customHeight="1" x14ac:dyDescent="0.2">
      <c r="A351" s="272"/>
      <c r="B351" s="34" t="s">
        <v>26</v>
      </c>
      <c r="C351" s="269" t="s">
        <v>24</v>
      </c>
      <c r="D351" s="281">
        <v>174270</v>
      </c>
      <c r="E351" s="269">
        <v>3</v>
      </c>
      <c r="F351" s="44">
        <v>142</v>
      </c>
      <c r="G351" s="39" t="str">
        <f>CONCATENATE(D351,"-",E351,"-",F351)</f>
        <v>174270-3-142</v>
      </c>
      <c r="H351" s="31">
        <f>IFERROR(VLOOKUP(G351,'Base Zero'!A:L,6,FALSE),0)</f>
        <v>2950000</v>
      </c>
      <c r="I351" s="31">
        <f>IFERROR(VLOOKUP(G351,'Base Zero'!A:L,7,FALSE),0)</f>
        <v>0</v>
      </c>
      <c r="J351" s="28">
        <f>(H351+I351)</f>
        <v>2950000</v>
      </c>
      <c r="K351" s="31">
        <f>(L351-J351)</f>
        <v>-309000</v>
      </c>
      <c r="L351" s="31">
        <f>IFERROR(VLOOKUP(G351,'Base Zero'!$A:$L,10,FALSE),0)</f>
        <v>2641000</v>
      </c>
      <c r="M351" s="31">
        <f>(+L351-N351)</f>
        <v>0</v>
      </c>
      <c r="N351" s="32">
        <f>IFERROR(VLOOKUP(G351,'Base Zero'!$A:$P,16,FALSE),0)</f>
        <v>2641000</v>
      </c>
      <c r="O351" s="32">
        <f>IFERROR(VLOOKUP(G351,'Base Execução'!A:M,6,FALSE),0)+IFERROR(VLOOKUP(G351,'Destaque Liberado pela CPRM'!A:F,6,FALSE),0)</f>
        <v>2641000</v>
      </c>
      <c r="P351" s="232">
        <f>+N351-O351</f>
        <v>0</v>
      </c>
      <c r="Q351" s="35"/>
      <c r="R351" s="231">
        <f>IFERROR(VLOOKUP(G351,'Base Execução'!$A:$K,7,FALSE),0)</f>
        <v>2131332.9500000002</v>
      </c>
      <c r="S351" s="231">
        <f>IFERROR(VLOOKUP(G351,'Base Execução'!$A:$K,9,FALSE),0)</f>
        <v>314106.71000000002</v>
      </c>
      <c r="T351" s="32">
        <f>IFERROR(VLOOKUP(G351,'Base Execução'!$A:$K,11,FALSE),0)</f>
        <v>120326.1</v>
      </c>
      <c r="U351" s="298"/>
    </row>
    <row r="352" spans="1:33" s="12" customFormat="1" ht="15" customHeight="1" x14ac:dyDescent="0.2">
      <c r="A352" s="272"/>
      <c r="B352" s="309"/>
      <c r="C352" s="48"/>
      <c r="D352" s="49"/>
      <c r="E352" s="48"/>
      <c r="F352" s="50"/>
      <c r="G352" s="49"/>
      <c r="H352" s="42"/>
      <c r="I352" s="42"/>
      <c r="J352" s="24"/>
      <c r="K352" s="42"/>
      <c r="L352" s="42"/>
      <c r="M352" s="42"/>
      <c r="N352" s="42"/>
      <c r="O352" s="42"/>
      <c r="P352" s="265"/>
      <c r="Q352" s="31"/>
      <c r="R352" s="265"/>
      <c r="S352" s="265"/>
      <c r="T352" s="42"/>
      <c r="U352" s="310"/>
      <c r="V352" s="365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</row>
    <row r="353" spans="1:33" s="11" customFormat="1" ht="24.95" customHeight="1" x14ac:dyDescent="0.2">
      <c r="A353" s="368"/>
      <c r="B353" s="20" t="s">
        <v>288</v>
      </c>
      <c r="C353" s="269"/>
      <c r="D353" s="39"/>
      <c r="E353" s="269"/>
      <c r="F353" s="44"/>
      <c r="G353" s="269"/>
      <c r="H353" s="22">
        <f>SUM(H355:H356)</f>
        <v>15200000</v>
      </c>
      <c r="I353" s="22">
        <f t="shared" ref="I353:T353" si="164">SUM(I355:I356)</f>
        <v>0</v>
      </c>
      <c r="J353" s="22">
        <f t="shared" si="164"/>
        <v>15200000</v>
      </c>
      <c r="K353" s="22">
        <f t="shared" si="164"/>
        <v>-465725</v>
      </c>
      <c r="L353" s="22">
        <f t="shared" si="164"/>
        <v>14734275</v>
      </c>
      <c r="M353" s="22">
        <f t="shared" si="164"/>
        <v>0</v>
      </c>
      <c r="N353" s="22">
        <f t="shared" si="164"/>
        <v>14734275</v>
      </c>
      <c r="O353" s="22">
        <f t="shared" si="164"/>
        <v>14079680.379999999</v>
      </c>
      <c r="P353" s="22">
        <f t="shared" si="164"/>
        <v>654594.61999999988</v>
      </c>
      <c r="Q353" s="22">
        <f t="shared" si="164"/>
        <v>0</v>
      </c>
      <c r="R353" s="22">
        <f t="shared" si="164"/>
        <v>13793569.109999999</v>
      </c>
      <c r="S353" s="22">
        <f t="shared" si="164"/>
        <v>3812390.04</v>
      </c>
      <c r="T353" s="22">
        <f t="shared" si="164"/>
        <v>3414937.53</v>
      </c>
      <c r="U353" s="156">
        <f>+IFERROR((R353/N353),0%)</f>
        <v>0.93615526451080899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277" t="s">
        <v>328</v>
      </c>
      <c r="C354" s="278"/>
      <c r="D354" s="40"/>
      <c r="E354" s="278"/>
      <c r="F354" s="279"/>
      <c r="G354" s="278"/>
      <c r="H354" s="32"/>
      <c r="I354" s="32"/>
      <c r="J354" s="32"/>
      <c r="K354" s="32"/>
      <c r="L354" s="32"/>
      <c r="M354" s="32"/>
      <c r="N354" s="32"/>
      <c r="O354" s="32"/>
      <c r="P354" s="231"/>
      <c r="Q354" s="33"/>
      <c r="R354" s="231"/>
      <c r="S354" s="231"/>
      <c r="T354" s="32"/>
      <c r="U354" s="15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23</v>
      </c>
      <c r="C355" s="278" t="s">
        <v>24</v>
      </c>
      <c r="D355" s="40"/>
      <c r="E355" s="278">
        <v>3</v>
      </c>
      <c r="F355" s="313">
        <v>142</v>
      </c>
      <c r="G355" s="40"/>
      <c r="H355" s="32">
        <f>H360+H364+H368+H372+H376</f>
        <v>11787078</v>
      </c>
      <c r="I355" s="32">
        <f t="shared" ref="I355:T355" si="165">I360+I364+I368+I372+I376</f>
        <v>0</v>
      </c>
      <c r="J355" s="32">
        <f t="shared" si="165"/>
        <v>11787078</v>
      </c>
      <c r="K355" s="32">
        <f t="shared" si="165"/>
        <v>-465725</v>
      </c>
      <c r="L355" s="32">
        <f t="shared" si="165"/>
        <v>11321353</v>
      </c>
      <c r="M355" s="32">
        <f t="shared" si="165"/>
        <v>0</v>
      </c>
      <c r="N355" s="32">
        <f t="shared" si="165"/>
        <v>11321353</v>
      </c>
      <c r="O355" s="32">
        <f t="shared" si="165"/>
        <v>10729589.76</v>
      </c>
      <c r="P355" s="32">
        <f t="shared" si="165"/>
        <v>591763.24</v>
      </c>
      <c r="Q355" s="32">
        <f t="shared" si="165"/>
        <v>0</v>
      </c>
      <c r="R355" s="32">
        <f t="shared" si="165"/>
        <v>10470028.149999999</v>
      </c>
      <c r="S355" s="32">
        <f t="shared" si="165"/>
        <v>3460142.04</v>
      </c>
      <c r="T355" s="32">
        <f t="shared" si="165"/>
        <v>3062689.53</v>
      </c>
      <c r="U355" s="29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 t="s">
        <v>26</v>
      </c>
      <c r="C356" s="278" t="s">
        <v>27</v>
      </c>
      <c r="D356" s="40"/>
      <c r="E356" s="278">
        <v>4</v>
      </c>
      <c r="F356" s="313">
        <v>142</v>
      </c>
      <c r="G356" s="40"/>
      <c r="H356" s="32">
        <f>H361+H365+H369+H373+H377</f>
        <v>3412922</v>
      </c>
      <c r="I356" s="32">
        <f t="shared" ref="I356:T356" si="166">I361+I365+I369+I373+I377</f>
        <v>0</v>
      </c>
      <c r="J356" s="32">
        <f t="shared" si="166"/>
        <v>3412922</v>
      </c>
      <c r="K356" s="32">
        <f t="shared" si="166"/>
        <v>0</v>
      </c>
      <c r="L356" s="32">
        <f t="shared" si="166"/>
        <v>3412922</v>
      </c>
      <c r="M356" s="32">
        <f t="shared" si="166"/>
        <v>0</v>
      </c>
      <c r="N356" s="32">
        <f t="shared" si="166"/>
        <v>3412922</v>
      </c>
      <c r="O356" s="32">
        <f t="shared" si="166"/>
        <v>3350090.62</v>
      </c>
      <c r="P356" s="32">
        <f t="shared" si="166"/>
        <v>62831.379999999859</v>
      </c>
      <c r="Q356" s="32">
        <f t="shared" si="166"/>
        <v>0</v>
      </c>
      <c r="R356" s="32">
        <f t="shared" si="166"/>
        <v>3323540.96</v>
      </c>
      <c r="S356" s="32">
        <f t="shared" si="166"/>
        <v>352248</v>
      </c>
      <c r="T356" s="32">
        <f t="shared" si="166"/>
        <v>352248</v>
      </c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/>
      <c r="C357" s="278"/>
      <c r="D357" s="40"/>
      <c r="E357" s="278"/>
      <c r="F357" s="279"/>
      <c r="G357" s="40"/>
      <c r="H357" s="32"/>
      <c r="I357" s="32"/>
      <c r="J357" s="32"/>
      <c r="K357" s="32"/>
      <c r="L357" s="32"/>
      <c r="M357" s="32"/>
      <c r="N357" s="32"/>
      <c r="O357" s="32"/>
      <c r="P357" s="231"/>
      <c r="Q357" s="33"/>
      <c r="R357" s="231"/>
      <c r="S357" s="231"/>
      <c r="T357" s="32"/>
      <c r="U357" s="15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24.95" customHeight="1" x14ac:dyDescent="0.2">
      <c r="A358" s="272"/>
      <c r="B358" s="424" t="s">
        <v>289</v>
      </c>
      <c r="C358" s="269"/>
      <c r="D358" s="281"/>
      <c r="E358" s="269"/>
      <c r="F358" s="44"/>
      <c r="G358" s="39"/>
      <c r="H358" s="31"/>
      <c r="I358" s="31"/>
      <c r="J358" s="28"/>
      <c r="K358" s="31"/>
      <c r="L358" s="31"/>
      <c r="M358" s="31"/>
      <c r="N358" s="31"/>
      <c r="O358" s="31"/>
      <c r="P358" s="232"/>
      <c r="Q358" s="31"/>
      <c r="R358" s="232"/>
      <c r="S358" s="232"/>
      <c r="T358" s="31"/>
      <c r="U358" s="298"/>
    </row>
    <row r="359" spans="1:33" s="11" customFormat="1" ht="15" customHeight="1" x14ac:dyDescent="0.2">
      <c r="A359" s="95"/>
      <c r="B359" s="38" t="s">
        <v>147</v>
      </c>
      <c r="C359" s="269"/>
      <c r="D359" s="40"/>
      <c r="E359" s="278"/>
      <c r="F359" s="279"/>
      <c r="G359" s="40"/>
      <c r="H359" s="21">
        <f t="shared" ref="H359:T359" si="167">SUM(H360:H361)</f>
        <v>350000</v>
      </c>
      <c r="I359" s="21">
        <f t="shared" si="167"/>
        <v>0</v>
      </c>
      <c r="J359" s="21">
        <f t="shared" si="167"/>
        <v>350000</v>
      </c>
      <c r="K359" s="21">
        <f t="shared" si="167"/>
        <v>0</v>
      </c>
      <c r="L359" s="21">
        <f t="shared" si="167"/>
        <v>350000</v>
      </c>
      <c r="M359" s="21">
        <f t="shared" si="167"/>
        <v>0</v>
      </c>
      <c r="N359" s="21">
        <f t="shared" si="167"/>
        <v>350000</v>
      </c>
      <c r="O359" s="21">
        <f t="shared" si="167"/>
        <v>348310.16000000003</v>
      </c>
      <c r="P359" s="21">
        <f t="shared" si="167"/>
        <v>1689.8399999999965</v>
      </c>
      <c r="Q359" s="21">
        <f t="shared" si="167"/>
        <v>0</v>
      </c>
      <c r="R359" s="21">
        <f t="shared" si="167"/>
        <v>343487.91000000003</v>
      </c>
      <c r="S359" s="21">
        <f t="shared" si="167"/>
        <v>200148.74</v>
      </c>
      <c r="T359" s="21">
        <f t="shared" si="167"/>
        <v>200148.73</v>
      </c>
      <c r="U359" s="154">
        <f>+IFERROR((R359/N359),0%)</f>
        <v>0.98139402857142866</v>
      </c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24</v>
      </c>
      <c r="D360" s="40">
        <v>174233</v>
      </c>
      <c r="E360" s="278">
        <v>3</v>
      </c>
      <c r="F360" s="279">
        <v>142</v>
      </c>
      <c r="G360" s="40" t="str">
        <f>CONCATENATE(D360,"-",E360,"-",F360)</f>
        <v>174233-3-142</v>
      </c>
      <c r="H360" s="32">
        <f>IFERROR(VLOOKUP(G360,'Base Zero'!A:L,6,FALSE),0)</f>
        <v>200000</v>
      </c>
      <c r="I360" s="32">
        <f>IFERROR(VLOOKUP(G360,'Base Zero'!A:L,7,FALSE),0)</f>
        <v>0</v>
      </c>
      <c r="J360" s="23">
        <f>(H360+I360)</f>
        <v>200000</v>
      </c>
      <c r="K360" s="32">
        <f>(L360-J360)</f>
        <v>0</v>
      </c>
      <c r="L360" s="32">
        <f>IFERROR(VLOOKUP(G360,'Base Zero'!$A:$L,10,FALSE),0)</f>
        <v>200000</v>
      </c>
      <c r="M360" s="32">
        <f>+L360-N360</f>
        <v>0</v>
      </c>
      <c r="N360" s="32">
        <f>IFERROR(VLOOKUP(G360,'Base Zero'!$A:$P,16,FALSE),0)</f>
        <v>200000</v>
      </c>
      <c r="O360" s="32">
        <f>IFERROR(VLOOKUP(G360,'Base Execução'!A:M,6,FALSE),0)+IFERROR(VLOOKUP(G360,'Destaque Liberado pela CPRM'!A:F,6,FALSE),0)</f>
        <v>200000</v>
      </c>
      <c r="P360" s="231">
        <f>+N360-O360</f>
        <v>0</v>
      </c>
      <c r="Q360" s="32"/>
      <c r="R360" s="231">
        <f>IFERROR(VLOOKUP(G360,'Base Execução'!$A:$K,7,FALSE),0)</f>
        <v>199846.75</v>
      </c>
      <c r="S360" s="231">
        <f>IFERROR(VLOOKUP(G360,'Base Execução'!$A:$K,9,FALSE),0)</f>
        <v>194951.74</v>
      </c>
      <c r="T360" s="32">
        <f>IFERROR(VLOOKUP(G360,'Base Execução'!$A:$K,11,FALSE),0)</f>
        <v>194951.73</v>
      </c>
      <c r="U360" s="153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314" t="s">
        <v>26</v>
      </c>
      <c r="C361" s="278" t="s">
        <v>27</v>
      </c>
      <c r="D361" s="40">
        <v>174233</v>
      </c>
      <c r="E361" s="278">
        <v>4</v>
      </c>
      <c r="F361" s="313">
        <v>142</v>
      </c>
      <c r="G361" s="40" t="str">
        <f>CONCATENATE(D361,"-",E361,"-",F361)</f>
        <v>174233-4-142</v>
      </c>
      <c r="H361" s="32">
        <f>IFERROR(VLOOKUP(G361,'Base Zero'!A:L,6,FALSE),0)</f>
        <v>150000</v>
      </c>
      <c r="I361" s="32">
        <f>IFERROR(VLOOKUP(G361,'Base Zero'!A:L,7,FALSE),0)</f>
        <v>0</v>
      </c>
      <c r="J361" s="23">
        <f>(H361+I361)</f>
        <v>150000</v>
      </c>
      <c r="K361" s="32">
        <f>(L361-J361)</f>
        <v>0</v>
      </c>
      <c r="L361" s="32">
        <f>IFERROR(VLOOKUP(G361,'Base Zero'!$A:$L,10,FALSE),0)</f>
        <v>150000</v>
      </c>
      <c r="M361" s="32">
        <f>+L361-N361</f>
        <v>0</v>
      </c>
      <c r="N361" s="32">
        <f>IFERROR(VLOOKUP(G361,'Base Zero'!$A:$P,16,FALSE),0)</f>
        <v>150000</v>
      </c>
      <c r="O361" s="32">
        <f>IFERROR(VLOOKUP(G361,'Base Execução'!A:M,6,FALSE),0)+IFERROR(VLOOKUP(G361,'Destaque Liberado pela CPRM'!A:F,6,FALSE),0)</f>
        <v>148310.16</v>
      </c>
      <c r="P361" s="231">
        <f>+N361-O361</f>
        <v>1689.8399999999965</v>
      </c>
      <c r="Q361" s="32"/>
      <c r="R361" s="231">
        <f>IFERROR(VLOOKUP(G361,'Base Execução'!$A:$K,7,FALSE),0)</f>
        <v>143641.16</v>
      </c>
      <c r="S361" s="231">
        <f>IFERROR(VLOOKUP(G361,'Base Execução'!$A:$K,9,FALSE),0)</f>
        <v>5197</v>
      </c>
      <c r="T361" s="32">
        <f>IFERROR(VLOOKUP(G361,'Base Execução'!$A:$K,11,FALSE),0)</f>
        <v>5197</v>
      </c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424" t="s">
        <v>290</v>
      </c>
      <c r="C362" s="278"/>
      <c r="D362" s="40"/>
      <c r="E362" s="278"/>
      <c r="F362" s="313"/>
      <c r="G362" s="40"/>
      <c r="H362" s="32"/>
      <c r="I362" s="32"/>
      <c r="J362" s="23"/>
      <c r="K362" s="32"/>
      <c r="L362" s="32"/>
      <c r="M362" s="32"/>
      <c r="N362" s="32"/>
      <c r="O362" s="32"/>
      <c r="P362" s="231"/>
      <c r="Q362" s="33"/>
      <c r="R362" s="231"/>
      <c r="S362" s="231"/>
      <c r="T362" s="32"/>
      <c r="U362" s="155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" customHeight="1" x14ac:dyDescent="0.2">
      <c r="A363" s="95"/>
      <c r="B363" s="38" t="s">
        <v>148</v>
      </c>
      <c r="C363" s="269"/>
      <c r="D363" s="36"/>
      <c r="E363" s="35"/>
      <c r="F363" s="37"/>
      <c r="G363" s="33"/>
      <c r="H363" s="22">
        <f t="shared" ref="H363:T363" si="168">SUM(H364:H365)</f>
        <v>6000000</v>
      </c>
      <c r="I363" s="22">
        <f t="shared" si="168"/>
        <v>0</v>
      </c>
      <c r="J363" s="22">
        <f t="shared" si="168"/>
        <v>6000000</v>
      </c>
      <c r="K363" s="22">
        <f t="shared" si="168"/>
        <v>0</v>
      </c>
      <c r="L363" s="22">
        <f t="shared" si="168"/>
        <v>6000000</v>
      </c>
      <c r="M363" s="22">
        <f t="shared" si="168"/>
        <v>0</v>
      </c>
      <c r="N363" s="22">
        <f t="shared" si="168"/>
        <v>6000000</v>
      </c>
      <c r="O363" s="22">
        <f t="shared" si="168"/>
        <v>5702068.5600000005</v>
      </c>
      <c r="P363" s="229">
        <f t="shared" si="168"/>
        <v>297931.43999999994</v>
      </c>
      <c r="Q363" s="22">
        <f t="shared" si="168"/>
        <v>0</v>
      </c>
      <c r="R363" s="22">
        <f t="shared" si="168"/>
        <v>5668501.1400000006</v>
      </c>
      <c r="S363" s="22">
        <f t="shared" si="168"/>
        <v>1192414.44</v>
      </c>
      <c r="T363" s="22">
        <f t="shared" si="168"/>
        <v>1165170.3</v>
      </c>
      <c r="U363" s="154">
        <f>+IFERROR((R363/N363),0%)</f>
        <v>0.94475019000000005</v>
      </c>
    </row>
    <row r="364" spans="1:33" ht="15" customHeight="1" x14ac:dyDescent="0.2">
      <c r="A364" s="95"/>
      <c r="B364" s="314" t="s">
        <v>26</v>
      </c>
      <c r="C364" s="269" t="s">
        <v>24</v>
      </c>
      <c r="D364" s="39">
        <v>174245</v>
      </c>
      <c r="E364" s="269">
        <v>3</v>
      </c>
      <c r="F364" s="313">
        <v>142</v>
      </c>
      <c r="G364" s="40" t="str">
        <f>CONCATENATE(D364,"-",E364,"-",F364)</f>
        <v>174245-3-142</v>
      </c>
      <c r="H364" s="32">
        <f>IFERROR(VLOOKUP(G364,'Base Zero'!A:L,6,FALSE),0)</f>
        <v>3539578</v>
      </c>
      <c r="I364" s="32">
        <f>IFERROR(VLOOKUP(G364,'Base Zero'!A:L,7,FALSE),0)</f>
        <v>0</v>
      </c>
      <c r="J364" s="23">
        <f>(H364+I364)</f>
        <v>3539578</v>
      </c>
      <c r="K364" s="32">
        <f>(L364-J364)</f>
        <v>0</v>
      </c>
      <c r="L364" s="32">
        <f>IFERROR(VLOOKUP(G364,'Base Zero'!$A:$L,10,FALSE),0)</f>
        <v>3539578</v>
      </c>
      <c r="M364" s="32">
        <f>+L364-N364</f>
        <v>0</v>
      </c>
      <c r="N364" s="32">
        <f>IFERROR(VLOOKUP(G364,'Base Zero'!$A:$P,16,FALSE),0)</f>
        <v>3539578</v>
      </c>
      <c r="O364" s="32">
        <f>IFERROR(VLOOKUP(G364,'Base Execução'!A:M,6,FALSE),0)+IFERROR(VLOOKUP(G364,'Destaque Liberado pela CPRM'!A:F,6,FALSE),0)</f>
        <v>3289576.9</v>
      </c>
      <c r="P364" s="231">
        <f>+N364-O364</f>
        <v>250001.10000000009</v>
      </c>
      <c r="Q364" s="32"/>
      <c r="R364" s="231">
        <f>IFERROR(VLOOKUP(G364,'Base Execução'!$A:$K,7,FALSE),0)</f>
        <v>3277890.14</v>
      </c>
      <c r="S364" s="231">
        <f>IFERROR(VLOOKUP(G364,'Base Execução'!$A:$K,9,FALSE),0)</f>
        <v>845363.44</v>
      </c>
      <c r="T364" s="32">
        <f>IFERROR(VLOOKUP(G364,'Base Execução'!$A:$K,11,FALSE),0)</f>
        <v>818119.3</v>
      </c>
      <c r="U364" s="155"/>
    </row>
    <row r="365" spans="1:33" s="11" customFormat="1" ht="15" customHeight="1" x14ac:dyDescent="0.2">
      <c r="A365" s="95"/>
      <c r="B365" s="314" t="s">
        <v>26</v>
      </c>
      <c r="C365" s="278" t="s">
        <v>27</v>
      </c>
      <c r="D365" s="40">
        <v>174245</v>
      </c>
      <c r="E365" s="278">
        <v>4</v>
      </c>
      <c r="F365" s="313">
        <v>142</v>
      </c>
      <c r="G365" s="40" t="str">
        <f>CONCATENATE(D365,"-",E365,"-",F365)</f>
        <v>174245-4-142</v>
      </c>
      <c r="H365" s="32">
        <f>IFERROR(VLOOKUP(G365,'Base Zero'!A:L,6,FALSE),0)</f>
        <v>2460422</v>
      </c>
      <c r="I365" s="32">
        <f>IFERROR(VLOOKUP(G365,'Base Zero'!A:L,7,FALSE),0)</f>
        <v>0</v>
      </c>
      <c r="J365" s="23">
        <f>(H365+I365)</f>
        <v>2460422</v>
      </c>
      <c r="K365" s="32">
        <f>(L365-J365)</f>
        <v>0</v>
      </c>
      <c r="L365" s="32">
        <f>IFERROR(VLOOKUP(G365,'Base Zero'!$A:$L,10,FALSE),0)</f>
        <v>2460422</v>
      </c>
      <c r="M365" s="32">
        <f>+L365-N365</f>
        <v>0</v>
      </c>
      <c r="N365" s="32">
        <f>IFERROR(VLOOKUP(G365,'Base Zero'!$A:$P,16,FALSE),0)</f>
        <v>2460422</v>
      </c>
      <c r="O365" s="32">
        <f>IFERROR(VLOOKUP(G365,'Base Execução'!A:M,6,FALSE),0)+IFERROR(VLOOKUP(G365,'Destaque Liberado pela CPRM'!A:F,6,FALSE),0)</f>
        <v>2412491.66</v>
      </c>
      <c r="P365" s="231">
        <f>+N365-O365</f>
        <v>47930.339999999851</v>
      </c>
      <c r="Q365" s="32"/>
      <c r="R365" s="231">
        <f>IFERROR(VLOOKUP(G365,'Base Execução'!$A:$K,7,FALSE),0)</f>
        <v>2390611</v>
      </c>
      <c r="S365" s="231">
        <f>IFERROR(VLOOKUP(G365,'Base Execução'!$A:$K,9,FALSE),0)</f>
        <v>347051</v>
      </c>
      <c r="T365" s="32">
        <f>IFERROR(VLOOKUP(G365,'Base Execução'!$A:$K,11,FALSE),0)</f>
        <v>347051</v>
      </c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11" customFormat="1" ht="15" customHeight="1" x14ac:dyDescent="0.2">
      <c r="A366" s="95"/>
      <c r="B366" s="424" t="s">
        <v>170</v>
      </c>
      <c r="C366" s="278"/>
      <c r="D366" s="40"/>
      <c r="E366" s="278"/>
      <c r="F366" s="313"/>
      <c r="G366" s="40"/>
      <c r="H366" s="32"/>
      <c r="I366" s="32"/>
      <c r="J366" s="23"/>
      <c r="K366" s="32"/>
      <c r="L366" s="32"/>
      <c r="M366" s="32"/>
      <c r="N366" s="32"/>
      <c r="O366" s="32"/>
      <c r="P366" s="231"/>
      <c r="Q366" s="33"/>
      <c r="R366" s="231"/>
      <c r="S366" s="231"/>
      <c r="T366" s="32"/>
      <c r="U366" s="155"/>
      <c r="V366" s="364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" customHeight="1" x14ac:dyDescent="0.2">
      <c r="A367" s="95"/>
      <c r="B367" s="38" t="s">
        <v>146</v>
      </c>
      <c r="C367" s="269"/>
      <c r="D367" s="36"/>
      <c r="E367" s="35"/>
      <c r="F367" s="37"/>
      <c r="G367" s="33"/>
      <c r="H367" s="22">
        <f>SUM(H368:H369)</f>
        <v>4111110</v>
      </c>
      <c r="I367" s="22">
        <f t="shared" ref="I367:O367" si="169">SUM(I368:I369)</f>
        <v>0</v>
      </c>
      <c r="J367" s="22">
        <f t="shared" si="169"/>
        <v>4111110</v>
      </c>
      <c r="K367" s="22">
        <f t="shared" si="169"/>
        <v>0</v>
      </c>
      <c r="L367" s="22">
        <f t="shared" si="169"/>
        <v>4111110</v>
      </c>
      <c r="M367" s="22">
        <f t="shared" si="169"/>
        <v>0</v>
      </c>
      <c r="N367" s="22">
        <f t="shared" si="169"/>
        <v>4111110</v>
      </c>
      <c r="O367" s="22">
        <f t="shared" si="169"/>
        <v>4091175</v>
      </c>
      <c r="P367" s="229">
        <f>SUM(P368:P369)</f>
        <v>19935</v>
      </c>
      <c r="Q367" s="22">
        <f>SUM(Q368:Q369)</f>
        <v>0</v>
      </c>
      <c r="R367" s="22">
        <f>SUM(R368:R369)</f>
        <v>3964947.77</v>
      </c>
      <c r="S367" s="22">
        <f>SUM(S368:S369)</f>
        <v>748581.9</v>
      </c>
      <c r="T367" s="22">
        <f>SUM(T368:T369)</f>
        <v>689284.62</v>
      </c>
      <c r="U367" s="154">
        <f>+IFERROR((R367/N367),0%)</f>
        <v>0.96444701552622036</v>
      </c>
    </row>
    <row r="368" spans="1:33" ht="15" customHeight="1" x14ac:dyDescent="0.2">
      <c r="A368" s="95"/>
      <c r="B368" s="314" t="s">
        <v>26</v>
      </c>
      <c r="C368" s="269" t="s">
        <v>24</v>
      </c>
      <c r="D368" s="39">
        <v>174257</v>
      </c>
      <c r="E368" s="269">
        <v>3</v>
      </c>
      <c r="F368" s="313">
        <v>142</v>
      </c>
      <c r="G368" s="40" t="str">
        <f>CONCATENATE(D368,"-",E368,"-",F368)</f>
        <v>174257-3-142</v>
      </c>
      <c r="H368" s="32">
        <f>IFERROR(VLOOKUP(G368,'Base Zero'!A:L,6,FALSE),0)</f>
        <v>3913610</v>
      </c>
      <c r="I368" s="32">
        <f>IFERROR(VLOOKUP(G368,'Base Zero'!A:L,7,FALSE),0)</f>
        <v>0</v>
      </c>
      <c r="J368" s="23">
        <f>(H368+I368)</f>
        <v>3913610</v>
      </c>
      <c r="K368" s="32">
        <f>(L368-J368)</f>
        <v>0</v>
      </c>
      <c r="L368" s="32">
        <f>IFERROR(VLOOKUP(G368,'Base Zero'!$A:$L,10,FALSE),0)</f>
        <v>3913610</v>
      </c>
      <c r="M368" s="32">
        <f>+L368-N368</f>
        <v>0</v>
      </c>
      <c r="N368" s="32">
        <f>IFERROR(VLOOKUP(G368,'Base Zero'!$A:$P,16,FALSE),0)</f>
        <v>3913610</v>
      </c>
      <c r="O368" s="32">
        <f>IFERROR(VLOOKUP(G368,'Base Execução'!A:M,6,FALSE),0)+IFERROR(VLOOKUP(G368,'Destaque Liberado pela CPRM'!A:F,6,FALSE),0)</f>
        <v>3901175</v>
      </c>
      <c r="P368" s="231">
        <f>+N368-O368</f>
        <v>12435</v>
      </c>
      <c r="Q368" s="32"/>
      <c r="R368" s="231">
        <f>IFERROR(VLOOKUP(G368,'Base Execução'!$A:$K,7,FALSE),0)</f>
        <v>3774947.77</v>
      </c>
      <c r="S368" s="231">
        <f>IFERROR(VLOOKUP(G368,'Base Execução'!$A:$K,9,FALSE),0)</f>
        <v>748581.9</v>
      </c>
      <c r="T368" s="32">
        <f>IFERROR(VLOOKUP(G368,'Base Execução'!$A:$K,11,FALSE),0)</f>
        <v>689284.62</v>
      </c>
      <c r="U368" s="155"/>
    </row>
    <row r="369" spans="1:33" ht="15" customHeight="1" x14ac:dyDescent="0.2">
      <c r="A369" s="95"/>
      <c r="B369" s="314" t="s">
        <v>26</v>
      </c>
      <c r="C369" s="278" t="s">
        <v>27</v>
      </c>
      <c r="D369" s="39">
        <v>174257</v>
      </c>
      <c r="E369" s="269">
        <v>4</v>
      </c>
      <c r="F369" s="313">
        <v>142</v>
      </c>
      <c r="G369" s="40" t="str">
        <f>CONCATENATE(D369,"-",E369,"-",F369)</f>
        <v>174257-4-142</v>
      </c>
      <c r="H369" s="32">
        <f>IFERROR(VLOOKUP(G369,'Base Zero'!A:L,6,FALSE),0)</f>
        <v>197500</v>
      </c>
      <c r="I369" s="32">
        <f>IFERROR(VLOOKUP(G369,'Base Zero'!A:L,7,FALSE),0)</f>
        <v>0</v>
      </c>
      <c r="J369" s="23">
        <f>(H369+I369)</f>
        <v>197500</v>
      </c>
      <c r="K369" s="32">
        <f>(L369-J369)</f>
        <v>0</v>
      </c>
      <c r="L369" s="32">
        <f>IFERROR(VLOOKUP(G369,'Base Zero'!$A:$L,10,FALSE),0)</f>
        <v>197500</v>
      </c>
      <c r="M369" s="32">
        <f>+L369-N369</f>
        <v>0</v>
      </c>
      <c r="N369" s="32">
        <f>IFERROR(VLOOKUP(G369,'Base Zero'!$A:$P,16,FALSE),0)</f>
        <v>197500</v>
      </c>
      <c r="O369" s="32">
        <f>IFERROR(VLOOKUP(G369,'Base Execução'!A:M,6,FALSE),0)+IFERROR(VLOOKUP(G369,'Destaque Liberado pela CPRM'!A:F,6,FALSE),0)</f>
        <v>190000</v>
      </c>
      <c r="P369" s="231">
        <f>+N369-O369</f>
        <v>7500</v>
      </c>
      <c r="Q369" s="32"/>
      <c r="R369" s="231">
        <f>IFERROR(VLOOKUP(G369,'Base Execução'!$A:$K,7,FALSE),0)</f>
        <v>190000</v>
      </c>
      <c r="S369" s="231">
        <f>IFERROR(VLOOKUP(G369,'Base Execução'!$A:$K,9,FALSE),0)</f>
        <v>0</v>
      </c>
      <c r="T369" s="32">
        <f>IFERROR(VLOOKUP(G369,'Base Execução'!$A:$K,11,FALSE),0)</f>
        <v>0</v>
      </c>
      <c r="U369" s="155"/>
    </row>
    <row r="370" spans="1:33" s="11" customFormat="1" ht="15" customHeight="1" x14ac:dyDescent="0.2">
      <c r="A370" s="95"/>
      <c r="B370" s="424" t="s">
        <v>291</v>
      </c>
      <c r="C370" s="278"/>
      <c r="D370" s="40"/>
      <c r="E370" s="278"/>
      <c r="F370" s="313"/>
      <c r="G370" s="40"/>
      <c r="H370" s="32"/>
      <c r="I370" s="32"/>
      <c r="J370" s="23"/>
      <c r="K370" s="32"/>
      <c r="L370" s="32"/>
      <c r="M370" s="32"/>
      <c r="N370" s="32"/>
      <c r="O370" s="32"/>
      <c r="P370" s="231"/>
      <c r="Q370" s="33"/>
      <c r="R370" s="231"/>
      <c r="S370" s="231"/>
      <c r="T370" s="32"/>
      <c r="U370" s="155"/>
      <c r="V370" s="364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" customHeight="1" x14ac:dyDescent="0.2">
      <c r="A371" s="95"/>
      <c r="B371" s="38" t="s">
        <v>169</v>
      </c>
      <c r="C371" s="269"/>
      <c r="D371" s="36"/>
      <c r="E371" s="35"/>
      <c r="F371" s="37"/>
      <c r="G371" s="33"/>
      <c r="H371" s="22">
        <f>SUM(H372:H373)</f>
        <v>2621000</v>
      </c>
      <c r="I371" s="22">
        <f t="shared" ref="I371:O371" si="170">SUM(I372:I373)</f>
        <v>0</v>
      </c>
      <c r="J371" s="22">
        <f t="shared" si="170"/>
        <v>2621000</v>
      </c>
      <c r="K371" s="22">
        <f t="shared" si="170"/>
        <v>0</v>
      </c>
      <c r="L371" s="22">
        <f t="shared" si="170"/>
        <v>2621000</v>
      </c>
      <c r="M371" s="22">
        <f t="shared" si="170"/>
        <v>0</v>
      </c>
      <c r="N371" s="22">
        <f t="shared" si="170"/>
        <v>2621000</v>
      </c>
      <c r="O371" s="22">
        <f t="shared" si="170"/>
        <v>2465676.3199999998</v>
      </c>
      <c r="P371" s="229">
        <f>SUM(P372:P373)</f>
        <v>155323.68</v>
      </c>
      <c r="Q371" s="22">
        <f>SUM(Q372:Q373)</f>
        <v>0</v>
      </c>
      <c r="R371" s="22">
        <f>SUM(R372:R373)</f>
        <v>2452751.1799999997</v>
      </c>
      <c r="S371" s="22">
        <f>SUM(S372:S373)</f>
        <v>671106.75</v>
      </c>
      <c r="T371" s="22">
        <f>SUM(T372:T373)</f>
        <v>431571.63</v>
      </c>
      <c r="U371" s="154">
        <f>+IFERROR((R371/N371),0%)</f>
        <v>0.93580739412437985</v>
      </c>
    </row>
    <row r="372" spans="1:33" ht="15" customHeight="1" x14ac:dyDescent="0.2">
      <c r="A372" s="95"/>
      <c r="B372" s="314" t="s">
        <v>26</v>
      </c>
      <c r="C372" s="269" t="s">
        <v>24</v>
      </c>
      <c r="D372" s="39">
        <v>174262</v>
      </c>
      <c r="E372" s="269">
        <v>3</v>
      </c>
      <c r="F372" s="313">
        <v>142</v>
      </c>
      <c r="G372" s="40" t="str">
        <f>CONCATENATE(D372,"-",E372,"-",F372)</f>
        <v>174262-3-142</v>
      </c>
      <c r="H372" s="32">
        <f>IFERROR(VLOOKUP(G372,'Base Zero'!A:L,6,FALSE),0)</f>
        <v>2126000</v>
      </c>
      <c r="I372" s="32">
        <f>IFERROR(VLOOKUP(G372,'Base Zero'!A:L,7,FALSE),0)</f>
        <v>0</v>
      </c>
      <c r="J372" s="23">
        <f>(H372+I372)</f>
        <v>2126000</v>
      </c>
      <c r="K372" s="32">
        <f>(L372-J372)</f>
        <v>0</v>
      </c>
      <c r="L372" s="32">
        <f>IFERROR(VLOOKUP(G372,'Base Zero'!$A:$L,10,FALSE),0)</f>
        <v>2126000</v>
      </c>
      <c r="M372" s="32">
        <f>+L372-N372</f>
        <v>0</v>
      </c>
      <c r="N372" s="32">
        <f>IFERROR(VLOOKUP(G372,'Base Zero'!$A:$P,16,FALSE),0)</f>
        <v>2126000</v>
      </c>
      <c r="O372" s="32">
        <f>IFERROR(VLOOKUP(G372,'Base Execução'!A:M,6,FALSE),0)+IFERROR(VLOOKUP(G372,'Destaque Liberado pela CPRM'!A:F,6,FALSE),0)</f>
        <v>1976387.52</v>
      </c>
      <c r="P372" s="231">
        <f>+N372-O372</f>
        <v>149612.47999999998</v>
      </c>
      <c r="Q372" s="32"/>
      <c r="R372" s="231">
        <f>IFERROR(VLOOKUP(G372,'Base Execução'!$A:$K,7,FALSE),0)</f>
        <v>1963462.38</v>
      </c>
      <c r="S372" s="231">
        <f>IFERROR(VLOOKUP(G372,'Base Execução'!$A:$K,9,FALSE),0)</f>
        <v>671106.75</v>
      </c>
      <c r="T372" s="32">
        <f>IFERROR(VLOOKUP(G372,'Base Execução'!$A:$K,11,FALSE),0)</f>
        <v>431571.63</v>
      </c>
      <c r="U372" s="155"/>
    </row>
    <row r="373" spans="1:33" ht="15" customHeight="1" x14ac:dyDescent="0.2">
      <c r="A373" s="95"/>
      <c r="B373" s="314" t="s">
        <v>26</v>
      </c>
      <c r="C373" s="278" t="s">
        <v>27</v>
      </c>
      <c r="D373" s="39">
        <v>174262</v>
      </c>
      <c r="E373" s="269">
        <v>4</v>
      </c>
      <c r="F373" s="313">
        <v>142</v>
      </c>
      <c r="G373" s="40" t="str">
        <f>CONCATENATE(D373,"-",E373,"-",F373)</f>
        <v>174262-4-142</v>
      </c>
      <c r="H373" s="32">
        <f>IFERROR(VLOOKUP(G373,'Base Zero'!A:L,6,FALSE),0)</f>
        <v>495000</v>
      </c>
      <c r="I373" s="32">
        <f>IFERROR(VLOOKUP(G373,'Base Zero'!A:L,7,FALSE),0)</f>
        <v>0</v>
      </c>
      <c r="J373" s="23">
        <f>(H373+I373)</f>
        <v>495000</v>
      </c>
      <c r="K373" s="32">
        <f>(L373-J373)</f>
        <v>0</v>
      </c>
      <c r="L373" s="32">
        <f>IFERROR(VLOOKUP(G373,'Base Zero'!$A:$L,10,FALSE),0)</f>
        <v>495000</v>
      </c>
      <c r="M373" s="32">
        <f>+L373-N373</f>
        <v>0</v>
      </c>
      <c r="N373" s="32">
        <f>IFERROR(VLOOKUP(G373,'Base Zero'!$A:$P,16,FALSE),0)</f>
        <v>495000</v>
      </c>
      <c r="O373" s="32">
        <f>IFERROR(VLOOKUP(G373,'Base Execução'!A:M,6,FALSE),0)+IFERROR(VLOOKUP(G373,'Destaque Liberado pela CPRM'!A:F,6,FALSE),0)</f>
        <v>489288.8</v>
      </c>
      <c r="P373" s="231">
        <f>+N373-O373</f>
        <v>5711.2000000000116</v>
      </c>
      <c r="Q373" s="32"/>
      <c r="R373" s="231">
        <f>IFERROR(VLOOKUP(G373,'Base Execução'!$A:$K,7,FALSE),0)</f>
        <v>489288.8</v>
      </c>
      <c r="S373" s="231">
        <f>IFERROR(VLOOKUP(G373,'Base Execução'!$A:$K,9,FALSE),0)</f>
        <v>0</v>
      </c>
      <c r="T373" s="32">
        <f>IFERROR(VLOOKUP(G373,'Base Execução'!$A:$K,11,FALSE),0)</f>
        <v>0</v>
      </c>
      <c r="U373" s="155"/>
    </row>
    <row r="374" spans="1:33" s="11" customFormat="1" ht="15" customHeight="1" x14ac:dyDescent="0.2">
      <c r="A374" s="95"/>
      <c r="B374" s="424" t="s">
        <v>149</v>
      </c>
      <c r="C374" s="278"/>
      <c r="D374" s="40"/>
      <c r="E374" s="278"/>
      <c r="F374" s="313"/>
      <c r="G374" s="40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1"/>
      <c r="S374" s="231"/>
      <c r="T374" s="32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" customHeight="1" x14ac:dyDescent="0.2">
      <c r="A375" s="95"/>
      <c r="B375" s="38" t="s">
        <v>150</v>
      </c>
      <c r="C375" s="269"/>
      <c r="D375" s="36"/>
      <c r="E375" s="35"/>
      <c r="F375" s="37"/>
      <c r="G375" s="33"/>
      <c r="H375" s="22">
        <f t="shared" ref="H375:T375" si="171">SUM(H376:H377)</f>
        <v>2117890</v>
      </c>
      <c r="I375" s="22">
        <f t="shared" si="171"/>
        <v>0</v>
      </c>
      <c r="J375" s="22">
        <f t="shared" si="171"/>
        <v>2117890</v>
      </c>
      <c r="K375" s="22">
        <f t="shared" si="171"/>
        <v>-465725</v>
      </c>
      <c r="L375" s="22">
        <f t="shared" si="171"/>
        <v>1652165</v>
      </c>
      <c r="M375" s="22">
        <f t="shared" si="171"/>
        <v>0</v>
      </c>
      <c r="N375" s="22">
        <f t="shared" si="171"/>
        <v>1652165</v>
      </c>
      <c r="O375" s="22">
        <f t="shared" si="171"/>
        <v>1472450.34</v>
      </c>
      <c r="P375" s="229">
        <f t="shared" si="171"/>
        <v>179714.65999999992</v>
      </c>
      <c r="Q375" s="22">
        <f t="shared" si="171"/>
        <v>0</v>
      </c>
      <c r="R375" s="22">
        <f t="shared" si="171"/>
        <v>1363881.11</v>
      </c>
      <c r="S375" s="22">
        <f t="shared" si="171"/>
        <v>1000138.21</v>
      </c>
      <c r="T375" s="22">
        <f t="shared" si="171"/>
        <v>928762.25</v>
      </c>
      <c r="U375" s="154">
        <f>+IFERROR((R375/N375),0%)</f>
        <v>0.82551144104856367</v>
      </c>
    </row>
    <row r="376" spans="1:33" ht="15" customHeight="1" x14ac:dyDescent="0.2">
      <c r="A376" s="95"/>
      <c r="B376" s="314" t="s">
        <v>26</v>
      </c>
      <c r="C376" s="269" t="s">
        <v>24</v>
      </c>
      <c r="D376" s="39">
        <v>174267</v>
      </c>
      <c r="E376" s="269">
        <v>3</v>
      </c>
      <c r="F376" s="313">
        <v>142</v>
      </c>
      <c r="G376" s="40" t="str">
        <f>CONCATENATE(D376,"-",E376,"-",F376)</f>
        <v>174267-3-142</v>
      </c>
      <c r="H376" s="32">
        <f>IFERROR(VLOOKUP(G376,'Base Zero'!A:L,6,FALSE),0)</f>
        <v>2007890</v>
      </c>
      <c r="I376" s="32">
        <f>IFERROR(VLOOKUP(G376,'Base Zero'!A:L,7,FALSE),0)</f>
        <v>0</v>
      </c>
      <c r="J376" s="23">
        <f>(H376+I376)</f>
        <v>2007890</v>
      </c>
      <c r="K376" s="32">
        <f>(L376-J376)</f>
        <v>-465725</v>
      </c>
      <c r="L376" s="32">
        <f>IFERROR(VLOOKUP(G376,'Base Zero'!$A:$L,10,FALSE),0)</f>
        <v>1542165</v>
      </c>
      <c r="M376" s="32">
        <f>+L376-N376</f>
        <v>0</v>
      </c>
      <c r="N376" s="32">
        <f>IFERROR(VLOOKUP(G376,'Base Zero'!$A:$P,16,FALSE),0)</f>
        <v>1542165</v>
      </c>
      <c r="O376" s="32">
        <f>IFERROR(VLOOKUP(G376,'Base Execução'!A:M,6,FALSE),0)+IFERROR(VLOOKUP(G376,'Destaque Liberado pela CPRM'!A:F,6,FALSE),0)</f>
        <v>1362450.34</v>
      </c>
      <c r="P376" s="231">
        <f>+N376-O376</f>
        <v>179714.65999999992</v>
      </c>
      <c r="Q376" s="32"/>
      <c r="R376" s="231">
        <f>IFERROR(VLOOKUP(G376,'Base Execução'!$A:$K,7,FALSE),0)</f>
        <v>1253881.1100000001</v>
      </c>
      <c r="S376" s="231">
        <f>IFERROR(VLOOKUP(G376,'Base Execução'!$A:$K,9,FALSE),0)</f>
        <v>1000138.21</v>
      </c>
      <c r="T376" s="32">
        <f>IFERROR(VLOOKUP(G376,'Base Execução'!$A:$K,11,FALSE),0)</f>
        <v>928762.25</v>
      </c>
      <c r="U376" s="155"/>
    </row>
    <row r="377" spans="1:33" ht="15" customHeight="1" x14ac:dyDescent="0.2">
      <c r="A377" s="95"/>
      <c r="B377" s="314" t="s">
        <v>26</v>
      </c>
      <c r="C377" s="278" t="s">
        <v>27</v>
      </c>
      <c r="D377" s="39">
        <v>174267</v>
      </c>
      <c r="E377" s="269">
        <v>4</v>
      </c>
      <c r="F377" s="313">
        <v>142</v>
      </c>
      <c r="G377" s="40" t="str">
        <f>CONCATENATE(D377,"-",E377,"-",F377)</f>
        <v>174267-4-142</v>
      </c>
      <c r="H377" s="32">
        <f>IFERROR(VLOOKUP(G377,'Base Zero'!A:L,6,FALSE),0)</f>
        <v>110000</v>
      </c>
      <c r="I377" s="32">
        <f>IFERROR(VLOOKUP(G377,'Base Zero'!A:L,7,FALSE),0)</f>
        <v>0</v>
      </c>
      <c r="J377" s="23">
        <f>(H377+I377)</f>
        <v>110000</v>
      </c>
      <c r="K377" s="32">
        <f>(L377-J377)</f>
        <v>0</v>
      </c>
      <c r="L377" s="32">
        <f>IFERROR(VLOOKUP(G377,'Base Zero'!$A:$L,10,FALSE),0)</f>
        <v>110000</v>
      </c>
      <c r="M377" s="32">
        <f>+L377-N377</f>
        <v>0</v>
      </c>
      <c r="N377" s="32">
        <f>IFERROR(VLOOKUP(G377,'Base Zero'!$A:$P,16,FALSE),0)</f>
        <v>110000</v>
      </c>
      <c r="O377" s="32">
        <f>IFERROR(VLOOKUP(G377,'Base Execução'!A:M,6,FALSE),0)+IFERROR(VLOOKUP(G377,'Destaque Liberado pela CPRM'!A:F,6,FALSE),0)</f>
        <v>110000</v>
      </c>
      <c r="P377" s="231">
        <f>+N377-O377</f>
        <v>0</v>
      </c>
      <c r="Q377" s="32"/>
      <c r="R377" s="231">
        <f>IFERROR(VLOOKUP(G377,'Base Execução'!$A:$K,7,FALSE),0)</f>
        <v>110000</v>
      </c>
      <c r="S377" s="231">
        <f>IFERROR(VLOOKUP(G377,'Base Execução'!$A:$K,9,FALSE),0)</f>
        <v>0</v>
      </c>
      <c r="T377" s="32">
        <f>IFERROR(VLOOKUP(G377,'Base Execução'!$A:$K,11,FALSE),0)</f>
        <v>0</v>
      </c>
      <c r="U377" s="155"/>
    </row>
    <row r="378" spans="1:33" s="11" customFormat="1" ht="15" customHeight="1" x14ac:dyDescent="0.2">
      <c r="A378" s="368"/>
      <c r="B378" s="301"/>
      <c r="C378" s="48"/>
      <c r="D378" s="49"/>
      <c r="E378" s="48"/>
      <c r="F378" s="50"/>
      <c r="G378" s="48"/>
      <c r="H378" s="42"/>
      <c r="I378" s="42"/>
      <c r="J378" s="24"/>
      <c r="K378" s="42"/>
      <c r="L378" s="42"/>
      <c r="M378" s="42"/>
      <c r="N378" s="42"/>
      <c r="O378" s="42"/>
      <c r="P378" s="265"/>
      <c r="Q378" s="35"/>
      <c r="R378" s="265"/>
      <c r="S378" s="265"/>
      <c r="T378" s="42"/>
      <c r="U378" s="300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24.95" customHeight="1" x14ac:dyDescent="0.2">
      <c r="A379" s="95"/>
      <c r="B379" s="41" t="s">
        <v>292</v>
      </c>
      <c r="C379" s="278"/>
      <c r="D379" s="40"/>
      <c r="E379" s="278"/>
      <c r="F379" s="279"/>
      <c r="G379" s="278"/>
      <c r="H379" s="21">
        <f>SUM(H381:H384)</f>
        <v>8500000</v>
      </c>
      <c r="I379" s="21">
        <f t="shared" ref="I379:T379" si="172">SUM(I381:I384)</f>
        <v>0</v>
      </c>
      <c r="J379" s="21">
        <f t="shared" si="172"/>
        <v>8500000</v>
      </c>
      <c r="K379" s="21">
        <f t="shared" si="172"/>
        <v>0</v>
      </c>
      <c r="L379" s="21">
        <f t="shared" si="172"/>
        <v>8500000</v>
      </c>
      <c r="M379" s="21">
        <f t="shared" si="172"/>
        <v>0</v>
      </c>
      <c r="N379" s="21">
        <f t="shared" si="172"/>
        <v>8500000</v>
      </c>
      <c r="O379" s="21">
        <f t="shared" si="172"/>
        <v>8021289.7800000003</v>
      </c>
      <c r="P379" s="21">
        <f t="shared" si="172"/>
        <v>478710.21999999974</v>
      </c>
      <c r="Q379" s="22">
        <f>SUM(Q382:Q384)</f>
        <v>0</v>
      </c>
      <c r="R379" s="21">
        <f t="shared" si="172"/>
        <v>7725325.1600000001</v>
      </c>
      <c r="S379" s="21">
        <f t="shared" si="172"/>
        <v>2715891.0700000003</v>
      </c>
      <c r="T379" s="21">
        <f t="shared" si="172"/>
        <v>2449695.4</v>
      </c>
      <c r="U379" s="156">
        <f>+IFERROR((R379/N379),0%)</f>
        <v>0.90886178352941183</v>
      </c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277" t="s">
        <v>329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100</v>
      </c>
      <c r="G381" s="278"/>
      <c r="H381" s="32">
        <f>H388</f>
        <v>0</v>
      </c>
      <c r="I381" s="32">
        <f t="shared" ref="I381:T381" si="173">I388</f>
        <v>0</v>
      </c>
      <c r="J381" s="32">
        <f t="shared" si="173"/>
        <v>0</v>
      </c>
      <c r="K381" s="32">
        <f t="shared" si="173"/>
        <v>0</v>
      </c>
      <c r="L381" s="32">
        <f t="shared" si="173"/>
        <v>0</v>
      </c>
      <c r="M381" s="32">
        <f t="shared" si="173"/>
        <v>0</v>
      </c>
      <c r="N381" s="32">
        <f t="shared" si="173"/>
        <v>0</v>
      </c>
      <c r="O381" s="32">
        <f t="shared" si="173"/>
        <v>0</v>
      </c>
      <c r="P381" s="32">
        <f t="shared" si="173"/>
        <v>0</v>
      </c>
      <c r="Q381" s="33"/>
      <c r="R381" s="32">
        <f t="shared" si="173"/>
        <v>0</v>
      </c>
      <c r="S381" s="32">
        <f t="shared" si="173"/>
        <v>0</v>
      </c>
      <c r="T381" s="32">
        <f t="shared" si="173"/>
        <v>0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/>
      <c r="E382" s="278">
        <v>3</v>
      </c>
      <c r="F382" s="313">
        <v>142</v>
      </c>
      <c r="G382" s="278"/>
      <c r="H382" s="32">
        <f>H389</f>
        <v>5692518</v>
      </c>
      <c r="I382" s="32">
        <f t="shared" ref="I382:T382" si="174">I389</f>
        <v>0</v>
      </c>
      <c r="J382" s="32">
        <f t="shared" si="174"/>
        <v>5692518</v>
      </c>
      <c r="K382" s="32">
        <f t="shared" si="174"/>
        <v>0</v>
      </c>
      <c r="L382" s="32">
        <f t="shared" si="174"/>
        <v>5692518</v>
      </c>
      <c r="M382" s="32">
        <f t="shared" si="174"/>
        <v>0</v>
      </c>
      <c r="N382" s="32">
        <f t="shared" si="174"/>
        <v>5692518</v>
      </c>
      <c r="O382" s="32">
        <f t="shared" si="174"/>
        <v>5369331.2400000002</v>
      </c>
      <c r="P382" s="32">
        <f t="shared" si="174"/>
        <v>323186.75999999978</v>
      </c>
      <c r="Q382" s="32">
        <f t="shared" si="174"/>
        <v>0</v>
      </c>
      <c r="R382" s="32">
        <f t="shared" si="174"/>
        <v>5169431.62</v>
      </c>
      <c r="S382" s="32">
        <f t="shared" si="174"/>
        <v>2196589.64</v>
      </c>
      <c r="T382" s="32">
        <f t="shared" si="174"/>
        <v>1962314.81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32</v>
      </c>
      <c r="C383" s="278" t="s">
        <v>27</v>
      </c>
      <c r="D383" s="40"/>
      <c r="E383" s="278">
        <v>4</v>
      </c>
      <c r="F383" s="313">
        <v>142</v>
      </c>
      <c r="G383" s="278"/>
      <c r="H383" s="32">
        <f>H390</f>
        <v>1000000</v>
      </c>
      <c r="I383" s="32">
        <f t="shared" ref="I383:T383" si="175">I390</f>
        <v>0</v>
      </c>
      <c r="J383" s="32">
        <f t="shared" si="175"/>
        <v>1000000</v>
      </c>
      <c r="K383" s="32">
        <f t="shared" si="175"/>
        <v>0</v>
      </c>
      <c r="L383" s="32">
        <f t="shared" si="175"/>
        <v>1000000</v>
      </c>
      <c r="M383" s="32">
        <f t="shared" si="175"/>
        <v>0</v>
      </c>
      <c r="N383" s="32">
        <f t="shared" si="175"/>
        <v>1000000</v>
      </c>
      <c r="O383" s="32">
        <f t="shared" si="175"/>
        <v>921146.55</v>
      </c>
      <c r="P383" s="32">
        <f t="shared" si="175"/>
        <v>78853.449999999953</v>
      </c>
      <c r="Q383" s="32">
        <f t="shared" si="175"/>
        <v>0</v>
      </c>
      <c r="R383" s="32">
        <f t="shared" si="175"/>
        <v>825641.55</v>
      </c>
      <c r="S383" s="32">
        <f t="shared" si="175"/>
        <v>491.9</v>
      </c>
      <c r="T383" s="32">
        <f t="shared" si="175"/>
        <v>491.9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39</v>
      </c>
      <c r="C384" s="278" t="s">
        <v>24</v>
      </c>
      <c r="D384" s="40"/>
      <c r="E384" s="278">
        <v>3</v>
      </c>
      <c r="F384" s="279">
        <v>150</v>
      </c>
      <c r="G384" s="278"/>
      <c r="H384" s="32">
        <f>H391</f>
        <v>1807482</v>
      </c>
      <c r="I384" s="32">
        <f t="shared" ref="I384:T384" si="176">I391</f>
        <v>0</v>
      </c>
      <c r="J384" s="32">
        <f t="shared" si="176"/>
        <v>1807482</v>
      </c>
      <c r="K384" s="32">
        <f t="shared" si="176"/>
        <v>0</v>
      </c>
      <c r="L384" s="32">
        <f t="shared" si="176"/>
        <v>1807482</v>
      </c>
      <c r="M384" s="32">
        <f t="shared" si="176"/>
        <v>0</v>
      </c>
      <c r="N384" s="32">
        <f t="shared" si="176"/>
        <v>1807482</v>
      </c>
      <c r="O384" s="32">
        <f t="shared" si="176"/>
        <v>1730811.99</v>
      </c>
      <c r="P384" s="32">
        <f t="shared" si="176"/>
        <v>76670.010000000009</v>
      </c>
      <c r="Q384" s="32">
        <f t="shared" si="176"/>
        <v>0</v>
      </c>
      <c r="R384" s="32">
        <f t="shared" si="176"/>
        <v>1730251.99</v>
      </c>
      <c r="S384" s="32">
        <f t="shared" si="176"/>
        <v>518809.53</v>
      </c>
      <c r="T384" s="32">
        <f t="shared" si="176"/>
        <v>486888.69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/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424" t="s">
        <v>293</v>
      </c>
      <c r="C386" s="278"/>
      <c r="D386" s="40"/>
      <c r="E386" s="278"/>
      <c r="F386" s="279"/>
      <c r="G386" s="278"/>
      <c r="H386" s="32"/>
      <c r="I386" s="32"/>
      <c r="J386" s="23"/>
      <c r="K386" s="32"/>
      <c r="L386" s="32"/>
      <c r="M386" s="32"/>
      <c r="N386" s="32"/>
      <c r="O386" s="32"/>
      <c r="P386" s="231"/>
      <c r="Q386" s="33"/>
      <c r="R386" s="232"/>
      <c r="S386" s="232"/>
      <c r="T386" s="31"/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8" t="s">
        <v>197</v>
      </c>
      <c r="C387" s="278"/>
      <c r="D387" s="40"/>
      <c r="E387" s="278"/>
      <c r="F387" s="279"/>
      <c r="G387" s="278"/>
      <c r="H387" s="22">
        <f>SUM(H388:H391)</f>
        <v>8500000</v>
      </c>
      <c r="I387" s="22">
        <f t="shared" ref="I387:P387" si="177">SUM(I388:I391)</f>
        <v>0</v>
      </c>
      <c r="J387" s="22">
        <f t="shared" si="177"/>
        <v>8500000</v>
      </c>
      <c r="K387" s="22">
        <f t="shared" si="177"/>
        <v>0</v>
      </c>
      <c r="L387" s="22">
        <f t="shared" si="177"/>
        <v>8500000</v>
      </c>
      <c r="M387" s="22">
        <f t="shared" si="177"/>
        <v>0</v>
      </c>
      <c r="N387" s="22">
        <f t="shared" si="177"/>
        <v>8500000</v>
      </c>
      <c r="O387" s="22">
        <f t="shared" si="177"/>
        <v>8021289.7800000003</v>
      </c>
      <c r="P387" s="22">
        <f t="shared" si="177"/>
        <v>478710.21999999974</v>
      </c>
      <c r="Q387" s="22">
        <f>SUM(Q389:Q391)</f>
        <v>0</v>
      </c>
      <c r="R387" s="22">
        <f>SUM(R388:R391)</f>
        <v>7725325.1600000001</v>
      </c>
      <c r="S387" s="22">
        <f>SUM(S388:S391)</f>
        <v>2715891.0700000003</v>
      </c>
      <c r="T387" s="22">
        <f>SUM(T388:T391)</f>
        <v>2449695.4</v>
      </c>
      <c r="U387" s="154">
        <f>+IFERROR((R387/N387),0%)</f>
        <v>0.90886178352941183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100</v>
      </c>
      <c r="G388" s="40" t="str">
        <f>CONCATENATE(D388,"-",E388,"-",F388)</f>
        <v>174239-3-100</v>
      </c>
      <c r="H388" s="32">
        <f>IFERROR(VLOOKUP(G388,'Base Zero'!A:L,6,FALSE),0)</f>
        <v>0</v>
      </c>
      <c r="I388" s="32">
        <f>IFERROR(VLOOKUP(G388,'Base Zero'!A:L,7,FALSE),0)</f>
        <v>0</v>
      </c>
      <c r="J388" s="23">
        <f>(H388+I388)</f>
        <v>0</v>
      </c>
      <c r="K388" s="32">
        <f>(L388-J388)</f>
        <v>0</v>
      </c>
      <c r="L388" s="32">
        <f>IFERROR(VLOOKUP(G388,'Base Zero'!$A:$L,10,FALSE),0)</f>
        <v>0</v>
      </c>
      <c r="M388" s="32">
        <f>+L388-N388</f>
        <v>0</v>
      </c>
      <c r="N388" s="32">
        <f>IFERROR(VLOOKUP(G388,'Base Zero'!$A:$P,16,FALSE),0)</f>
        <v>0</v>
      </c>
      <c r="O388" s="32">
        <f>IFERROR(VLOOKUP(G388,'Base Execução'!A:M,6,FALSE),0)+IFERROR(VLOOKUP(G388,'Destaque Liberado pela CPRM'!A:F,6,FALSE),0)</f>
        <v>0</v>
      </c>
      <c r="P388" s="231">
        <f>+N388-O388</f>
        <v>0</v>
      </c>
      <c r="Q388" s="22"/>
      <c r="R388" s="231">
        <f>IFERROR(VLOOKUP(G388,'Base Execução'!$A:$K,7,FALSE),0)</f>
        <v>0</v>
      </c>
      <c r="S388" s="231">
        <f>IFERROR(VLOOKUP(G388,'Base Execução'!$A:$K,9,FALSE),0)</f>
        <v>0</v>
      </c>
      <c r="T388" s="32">
        <f>IFERROR(VLOOKUP(G388,'Base Execução'!$A:$K,11,FALSE),0)</f>
        <v>0</v>
      </c>
      <c r="U388" s="154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>
        <v>174239</v>
      </c>
      <c r="E389" s="278">
        <v>3</v>
      </c>
      <c r="F389" s="313">
        <v>142</v>
      </c>
      <c r="G389" s="40" t="str">
        <f>CONCATENATE(D389,"-",E389,"-",F389)</f>
        <v>174239-3-142</v>
      </c>
      <c r="H389" s="32">
        <f>IFERROR(VLOOKUP(G389,'Base Zero'!A:L,6,FALSE),0)</f>
        <v>5692518</v>
      </c>
      <c r="I389" s="32">
        <f>IFERROR(VLOOKUP(G389,'Base Zero'!A:L,7,FALSE),0)</f>
        <v>0</v>
      </c>
      <c r="J389" s="23">
        <f>(H389+I389)</f>
        <v>5692518</v>
      </c>
      <c r="K389" s="32">
        <f>(L389-J389)</f>
        <v>0</v>
      </c>
      <c r="L389" s="32">
        <f>IFERROR(VLOOKUP(G389,'Base Zero'!$A:$L,10,FALSE),0)</f>
        <v>5692518</v>
      </c>
      <c r="M389" s="32">
        <f>+L389-N389</f>
        <v>0</v>
      </c>
      <c r="N389" s="32">
        <f>IFERROR(VLOOKUP(G389,'Base Zero'!$A:$P,16,FALSE),0)</f>
        <v>5692518</v>
      </c>
      <c r="O389" s="32">
        <f>IFERROR(VLOOKUP(G389,'Base Execução'!A:M,6,FALSE),0)+IFERROR(VLOOKUP(G389,'Destaque Liberado pela CPRM'!A:F,6,FALSE),0)</f>
        <v>5369331.2400000002</v>
      </c>
      <c r="P389" s="231">
        <f>+N389-O389</f>
        <v>323186.75999999978</v>
      </c>
      <c r="Q389" s="32"/>
      <c r="R389" s="231">
        <f>IFERROR(VLOOKUP(G389,'Base Execução'!$A:$K,7,FALSE),0)</f>
        <v>5169431.62</v>
      </c>
      <c r="S389" s="231">
        <f>IFERROR(VLOOKUP(G389,'Base Execução'!$A:$K,9,FALSE),0)</f>
        <v>2196589.64</v>
      </c>
      <c r="T389" s="32">
        <f>IFERROR(VLOOKUP(G389,'Base Execução'!$A:$K,11,FALSE),0)</f>
        <v>1962314.81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32</v>
      </c>
      <c r="C390" s="278" t="s">
        <v>27</v>
      </c>
      <c r="D390" s="40">
        <v>174239</v>
      </c>
      <c r="E390" s="278">
        <v>4</v>
      </c>
      <c r="F390" s="313">
        <v>142</v>
      </c>
      <c r="G390" s="40" t="str">
        <f>CONCATENATE(D390,"-",E390,"-",F390)</f>
        <v>174239-4-142</v>
      </c>
      <c r="H390" s="32">
        <f>IFERROR(VLOOKUP(G390,'Base Zero'!A:L,6,FALSE),0)</f>
        <v>1000000</v>
      </c>
      <c r="I390" s="32">
        <f>IFERROR(VLOOKUP(G390,'Base Zero'!A:L,7,FALSE),0)</f>
        <v>0</v>
      </c>
      <c r="J390" s="23">
        <f>(H390+I390)</f>
        <v>1000000</v>
      </c>
      <c r="K390" s="32">
        <f>(L390-J390)</f>
        <v>0</v>
      </c>
      <c r="L390" s="32">
        <f>IFERROR(VLOOKUP(G390,'Base Zero'!$A:$L,10,FALSE),0)</f>
        <v>1000000</v>
      </c>
      <c r="M390" s="32">
        <f>+L390-N390</f>
        <v>0</v>
      </c>
      <c r="N390" s="32">
        <f>IFERROR(VLOOKUP(G390,'Base Zero'!$A:$P,16,FALSE),0)</f>
        <v>1000000</v>
      </c>
      <c r="O390" s="32">
        <f>IFERROR(VLOOKUP(G390,'Base Execução'!A:M,6,FALSE),0)+IFERROR(VLOOKUP(G390,'Destaque Liberado pela CPRM'!A:F,6,FALSE),0)</f>
        <v>921146.55</v>
      </c>
      <c r="P390" s="231">
        <f>+N390-O390</f>
        <v>78853.449999999953</v>
      </c>
      <c r="Q390" s="33"/>
      <c r="R390" s="231">
        <f>IFERROR(VLOOKUP(G390,'Base Execução'!$A:$K,7,FALSE),0)</f>
        <v>825641.55</v>
      </c>
      <c r="S390" s="231">
        <f>IFERROR(VLOOKUP(G390,'Base Execução'!$A:$K,9,FALSE),0)</f>
        <v>491.9</v>
      </c>
      <c r="T390" s="32">
        <f>IFERROR(VLOOKUP(G390,'Base Execução'!$A:$K,11,FALSE),0)</f>
        <v>491.9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39</v>
      </c>
      <c r="C391" s="278" t="s">
        <v>24</v>
      </c>
      <c r="D391" s="40">
        <v>174239</v>
      </c>
      <c r="E391" s="278">
        <v>3</v>
      </c>
      <c r="F391" s="279">
        <v>150</v>
      </c>
      <c r="G391" s="40" t="str">
        <f>CONCATENATE(D391,"-",E391,"-",F391)</f>
        <v>174239-3-150</v>
      </c>
      <c r="H391" s="32">
        <f>IFERROR(VLOOKUP(G391,'Base Zero'!A:L,6,FALSE),0)</f>
        <v>1807482</v>
      </c>
      <c r="I391" s="32">
        <f>IFERROR(VLOOKUP(G391,'Base Zero'!A:L,7,FALSE),0)</f>
        <v>0</v>
      </c>
      <c r="J391" s="23">
        <f>(H391+I391)</f>
        <v>1807482</v>
      </c>
      <c r="K391" s="32">
        <f>(L391-J391)</f>
        <v>0</v>
      </c>
      <c r="L391" s="32">
        <f>IFERROR(VLOOKUP(G391,'Base Zero'!$A:$L,10,FALSE),0)</f>
        <v>1807482</v>
      </c>
      <c r="M391" s="32">
        <f>+L391-N391</f>
        <v>0</v>
      </c>
      <c r="N391" s="32">
        <f>IFERROR(VLOOKUP(G391,'Base Zero'!$A:$P,16,FALSE),0)</f>
        <v>1807482</v>
      </c>
      <c r="O391" s="32">
        <f>IFERROR(VLOOKUP(G391,'Base Execução'!A:M,6,FALSE),0)+IFERROR(VLOOKUP(G391,'Destaque Liberado pela CPRM'!A:F,6,FALSE),0)</f>
        <v>1730811.99</v>
      </c>
      <c r="P391" s="231">
        <f>+N391-O391</f>
        <v>76670.010000000009</v>
      </c>
      <c r="Q391" s="33"/>
      <c r="R391" s="231">
        <f>IFERROR(VLOOKUP(G391,'Base Execução'!$A:$K,7,FALSE),0)</f>
        <v>1730251.99</v>
      </c>
      <c r="S391" s="231">
        <f>IFERROR(VLOOKUP(G391,'Base Execução'!$A:$K,9,FALSE),0)</f>
        <v>518809.53</v>
      </c>
      <c r="T391" s="32">
        <f>IFERROR(VLOOKUP(G391,'Base Execução'!$A:$K,11,FALSE),0)</f>
        <v>486888.69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368"/>
      <c r="B392" s="299"/>
      <c r="C392" s="48"/>
      <c r="D392" s="49"/>
      <c r="E392" s="48"/>
      <c r="F392" s="50"/>
      <c r="G392" s="48"/>
      <c r="H392" s="42"/>
      <c r="I392" s="42"/>
      <c r="J392" s="24"/>
      <c r="K392" s="42"/>
      <c r="L392" s="42"/>
      <c r="M392" s="42"/>
      <c r="N392" s="42"/>
      <c r="O392" s="42"/>
      <c r="P392" s="265"/>
      <c r="Q392" s="35"/>
      <c r="R392" s="265"/>
      <c r="S392" s="265"/>
      <c r="T392" s="42"/>
      <c r="U392" s="300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24.95" customHeight="1" x14ac:dyDescent="0.2">
      <c r="A393" s="95"/>
      <c r="B393" s="41" t="s">
        <v>294</v>
      </c>
      <c r="C393" s="278"/>
      <c r="D393" s="40"/>
      <c r="E393" s="278"/>
      <c r="F393" s="279"/>
      <c r="G393" s="278"/>
      <c r="H393" s="21">
        <f>SUM(H395:H398)</f>
        <v>1000000</v>
      </c>
      <c r="I393" s="21">
        <f t="shared" ref="I393:T393" si="178">SUM(I395:I398)</f>
        <v>0</v>
      </c>
      <c r="J393" s="21">
        <f t="shared" si="178"/>
        <v>1000000</v>
      </c>
      <c r="K393" s="21">
        <f t="shared" si="178"/>
        <v>-102651</v>
      </c>
      <c r="L393" s="21">
        <f t="shared" si="178"/>
        <v>897349</v>
      </c>
      <c r="M393" s="21">
        <f t="shared" si="178"/>
        <v>0</v>
      </c>
      <c r="N393" s="21">
        <f t="shared" si="178"/>
        <v>897349</v>
      </c>
      <c r="O393" s="21">
        <f t="shared" si="178"/>
        <v>682860.29</v>
      </c>
      <c r="P393" s="21">
        <f t="shared" si="178"/>
        <v>214488.71</v>
      </c>
      <c r="Q393" s="22">
        <f>SUM(Q397:Q398)</f>
        <v>0</v>
      </c>
      <c r="R393" s="21">
        <f t="shared" si="178"/>
        <v>610247.02999999991</v>
      </c>
      <c r="S393" s="21">
        <f t="shared" si="178"/>
        <v>393287.85000000003</v>
      </c>
      <c r="T393" s="21">
        <f t="shared" si="178"/>
        <v>329804.95999999996</v>
      </c>
      <c r="U393" s="156">
        <f>+IFERROR((R393/N393),0%)</f>
        <v>0.68005539650682167</v>
      </c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277" t="s">
        <v>330</v>
      </c>
      <c r="C394" s="278"/>
      <c r="D394" s="40"/>
      <c r="E394" s="278"/>
      <c r="F394" s="279"/>
      <c r="G394" s="278"/>
      <c r="H394" s="21"/>
      <c r="I394" s="21"/>
      <c r="J394" s="21"/>
      <c r="K394" s="21"/>
      <c r="L394" s="21"/>
      <c r="M394" s="21"/>
      <c r="N394" s="21"/>
      <c r="O394" s="21"/>
      <c r="P394" s="228"/>
      <c r="Q394" s="33"/>
      <c r="R394" s="228"/>
      <c r="S394" s="228"/>
      <c r="T394" s="2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24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9">I405</f>
        <v>0</v>
      </c>
      <c r="J395" s="32">
        <f t="shared" si="179"/>
        <v>0</v>
      </c>
      <c r="K395" s="32">
        <f t="shared" si="179"/>
        <v>0</v>
      </c>
      <c r="L395" s="32">
        <f t="shared" si="179"/>
        <v>0</v>
      </c>
      <c r="M395" s="32">
        <f t="shared" si="179"/>
        <v>0</v>
      </c>
      <c r="N395" s="32">
        <f t="shared" si="179"/>
        <v>0</v>
      </c>
      <c r="O395" s="32">
        <f t="shared" si="179"/>
        <v>0</v>
      </c>
      <c r="P395" s="32">
        <f t="shared" si="179"/>
        <v>0</v>
      </c>
      <c r="Q395" s="33"/>
      <c r="R395" s="32">
        <f t="shared" si="179"/>
        <v>0</v>
      </c>
      <c r="S395" s="32">
        <f t="shared" si="179"/>
        <v>0</v>
      </c>
      <c r="T395" s="32">
        <f t="shared" si="179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27</v>
      </c>
      <c r="D396" s="40"/>
      <c r="E396" s="278"/>
      <c r="F396" s="313">
        <v>100</v>
      </c>
      <c r="G396" s="278"/>
      <c r="H396" s="32">
        <f>H406</f>
        <v>0</v>
      </c>
      <c r="I396" s="32">
        <f t="shared" ref="I396:T396" si="180">I406</f>
        <v>0</v>
      </c>
      <c r="J396" s="32">
        <f t="shared" si="180"/>
        <v>0</v>
      </c>
      <c r="K396" s="32">
        <f t="shared" si="180"/>
        <v>0</v>
      </c>
      <c r="L396" s="32">
        <f t="shared" si="180"/>
        <v>0</v>
      </c>
      <c r="M396" s="32">
        <f t="shared" si="180"/>
        <v>0</v>
      </c>
      <c r="N396" s="32">
        <f t="shared" si="180"/>
        <v>0</v>
      </c>
      <c r="O396" s="32">
        <f t="shared" si="180"/>
        <v>0</v>
      </c>
      <c r="P396" s="32">
        <f t="shared" si="180"/>
        <v>0</v>
      </c>
      <c r="Q396" s="33"/>
      <c r="R396" s="32">
        <f t="shared" si="180"/>
        <v>0</v>
      </c>
      <c r="S396" s="32">
        <f t="shared" si="180"/>
        <v>0</v>
      </c>
      <c r="T396" s="32">
        <f t="shared" si="180"/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142</v>
      </c>
      <c r="G397" s="40"/>
      <c r="H397" s="32">
        <f t="shared" ref="H397:T397" si="181">H402+H409+H412+H415</f>
        <v>975000</v>
      </c>
      <c r="I397" s="32">
        <f t="shared" si="181"/>
        <v>0</v>
      </c>
      <c r="J397" s="32">
        <f t="shared" si="181"/>
        <v>975000</v>
      </c>
      <c r="K397" s="32">
        <f t="shared" si="181"/>
        <v>-79037</v>
      </c>
      <c r="L397" s="32">
        <f t="shared" si="181"/>
        <v>895963</v>
      </c>
      <c r="M397" s="32">
        <f t="shared" si="181"/>
        <v>0</v>
      </c>
      <c r="N397" s="32">
        <f t="shared" si="181"/>
        <v>895963</v>
      </c>
      <c r="O397" s="32">
        <f t="shared" si="181"/>
        <v>681474.29</v>
      </c>
      <c r="P397" s="32">
        <f t="shared" si="181"/>
        <v>214488.71</v>
      </c>
      <c r="Q397" s="32">
        <f t="shared" si="181"/>
        <v>0</v>
      </c>
      <c r="R397" s="32">
        <f t="shared" si="181"/>
        <v>610247.02999999991</v>
      </c>
      <c r="S397" s="32">
        <f t="shared" si="181"/>
        <v>393287.85000000003</v>
      </c>
      <c r="T397" s="32">
        <f t="shared" si="181"/>
        <v>329804.95999999996</v>
      </c>
      <c r="U397" s="29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26</v>
      </c>
      <c r="C398" s="278" t="s">
        <v>27</v>
      </c>
      <c r="D398" s="40"/>
      <c r="E398" s="278"/>
      <c r="F398" s="313">
        <v>142</v>
      </c>
      <c r="G398" s="40"/>
      <c r="H398" s="32">
        <f>H403</f>
        <v>25000</v>
      </c>
      <c r="I398" s="32">
        <f t="shared" ref="I398:T398" si="182">I403</f>
        <v>0</v>
      </c>
      <c r="J398" s="32">
        <f t="shared" si="182"/>
        <v>25000</v>
      </c>
      <c r="K398" s="32">
        <f t="shared" si="182"/>
        <v>-23614</v>
      </c>
      <c r="L398" s="32">
        <f t="shared" si="182"/>
        <v>1386</v>
      </c>
      <c r="M398" s="32">
        <f t="shared" si="182"/>
        <v>0</v>
      </c>
      <c r="N398" s="32">
        <f t="shared" si="182"/>
        <v>1386</v>
      </c>
      <c r="O398" s="32">
        <f t="shared" si="182"/>
        <v>1386</v>
      </c>
      <c r="P398" s="32">
        <f t="shared" si="182"/>
        <v>0</v>
      </c>
      <c r="Q398" s="32">
        <f t="shared" si="182"/>
        <v>0</v>
      </c>
      <c r="R398" s="32">
        <f t="shared" si="182"/>
        <v>0</v>
      </c>
      <c r="S398" s="32">
        <f t="shared" si="182"/>
        <v>0</v>
      </c>
      <c r="T398" s="32">
        <f t="shared" si="182"/>
        <v>0</v>
      </c>
      <c r="U398" s="31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/>
      <c r="C399" s="278"/>
      <c r="D399" s="40"/>
      <c r="E399" s="278"/>
      <c r="F399" s="279"/>
      <c r="G399" s="40"/>
      <c r="H399" s="32"/>
      <c r="I399" s="32"/>
      <c r="J399" s="32"/>
      <c r="K399" s="32"/>
      <c r="L399" s="32"/>
      <c r="M399" s="32"/>
      <c r="N399" s="32"/>
      <c r="O399" s="32"/>
      <c r="P399" s="231"/>
      <c r="Q399" s="33"/>
      <c r="R399" s="231"/>
      <c r="S399" s="231"/>
      <c r="T399" s="32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424" t="s">
        <v>161</v>
      </c>
      <c r="C400" s="278"/>
      <c r="D400" s="40"/>
      <c r="E400" s="278"/>
      <c r="F400" s="279"/>
      <c r="G400" s="278"/>
      <c r="H400" s="32"/>
      <c r="I400" s="32"/>
      <c r="J400" s="23"/>
      <c r="K400" s="32"/>
      <c r="L400" s="32"/>
      <c r="M400" s="32"/>
      <c r="N400" s="32"/>
      <c r="O400" s="32"/>
      <c r="P400" s="231"/>
      <c r="Q400" s="33"/>
      <c r="R400" s="232"/>
      <c r="S400" s="232"/>
      <c r="T400" s="31"/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8" t="s">
        <v>162</v>
      </c>
      <c r="C401" s="278"/>
      <c r="D401" s="40"/>
      <c r="E401" s="278"/>
      <c r="F401" s="279"/>
      <c r="G401" s="278"/>
      <c r="H401" s="21">
        <f t="shared" ref="H401:T401" si="183">SUM(H402:H403)</f>
        <v>225000</v>
      </c>
      <c r="I401" s="21">
        <f t="shared" si="183"/>
        <v>0</v>
      </c>
      <c r="J401" s="21">
        <f t="shared" si="183"/>
        <v>225000</v>
      </c>
      <c r="K401" s="21">
        <f t="shared" si="183"/>
        <v>-73614</v>
      </c>
      <c r="L401" s="21">
        <f t="shared" si="183"/>
        <v>151386</v>
      </c>
      <c r="M401" s="21">
        <f t="shared" si="183"/>
        <v>0</v>
      </c>
      <c r="N401" s="21">
        <f t="shared" si="183"/>
        <v>151386</v>
      </c>
      <c r="O401" s="21">
        <f t="shared" si="183"/>
        <v>133005.51999999999</v>
      </c>
      <c r="P401" s="228">
        <f t="shared" si="183"/>
        <v>18380.48000000001</v>
      </c>
      <c r="Q401" s="21">
        <f t="shared" si="183"/>
        <v>0</v>
      </c>
      <c r="R401" s="21">
        <f t="shared" si="183"/>
        <v>117223.71</v>
      </c>
      <c r="S401" s="21">
        <f t="shared" si="183"/>
        <v>66919.38</v>
      </c>
      <c r="T401" s="21">
        <f t="shared" si="183"/>
        <v>53163.87</v>
      </c>
      <c r="U401" s="154">
        <f>+IFERROR((R401/N401),0%)</f>
        <v>0.77433653045856288</v>
      </c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23</v>
      </c>
      <c r="C402" s="278" t="s">
        <v>24</v>
      </c>
      <c r="D402" s="40">
        <v>174236</v>
      </c>
      <c r="E402" s="278">
        <v>3</v>
      </c>
      <c r="F402" s="313">
        <v>142</v>
      </c>
      <c r="G402" s="40" t="str">
        <f>CONCATENATE(D402,"-",E402,"-",F402)</f>
        <v>174236-3-142</v>
      </c>
      <c r="H402" s="32">
        <f>IFERROR(VLOOKUP(G402,'Base Zero'!A:L,6,FALSE),0)</f>
        <v>200000</v>
      </c>
      <c r="I402" s="32">
        <f>IFERROR(VLOOKUP(G402,'Base Zero'!A:L,7,FALSE),0)</f>
        <v>0</v>
      </c>
      <c r="J402" s="23">
        <f>(H402+I402)</f>
        <v>200000</v>
      </c>
      <c r="K402" s="32">
        <f>(L402-J402)</f>
        <v>-50000</v>
      </c>
      <c r="L402" s="32">
        <f>IFERROR(VLOOKUP(G402,'Base Zero'!$A:$L,10,FALSE),0)</f>
        <v>150000</v>
      </c>
      <c r="M402" s="32">
        <f>+L402-N402</f>
        <v>0</v>
      </c>
      <c r="N402" s="32">
        <f>IFERROR(VLOOKUP(G402,'Base Zero'!$A:$P,16,FALSE),0)</f>
        <v>150000</v>
      </c>
      <c r="O402" s="32">
        <f>IFERROR(VLOOKUP(G402,'Base Execução'!A:M,6,FALSE),0)+IFERROR(VLOOKUP(G402,'Destaque Liberado pela CPRM'!A:F,6,FALSE),0)</f>
        <v>131619.51999999999</v>
      </c>
      <c r="P402" s="231">
        <f>+N402-O402</f>
        <v>18380.48000000001</v>
      </c>
      <c r="Q402" s="32"/>
      <c r="R402" s="231">
        <f>IFERROR(VLOOKUP(G402,'Base Execução'!$A:$K,7,FALSE),0)</f>
        <v>117223.71</v>
      </c>
      <c r="S402" s="231">
        <f>IFERROR(VLOOKUP(G402,'Base Execução'!$A:$K,9,FALSE),0)</f>
        <v>66919.38</v>
      </c>
      <c r="T402" s="32">
        <f>IFERROR(VLOOKUP(G402,'Base Execução'!$A:$K,11,FALSE),0)</f>
        <v>53163.87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34</v>
      </c>
      <c r="C403" s="278" t="s">
        <v>27</v>
      </c>
      <c r="D403" s="40">
        <v>174236</v>
      </c>
      <c r="E403" s="278">
        <v>4</v>
      </c>
      <c r="F403" s="313">
        <v>142</v>
      </c>
      <c r="G403" s="40" t="str">
        <f>CONCATENATE(D403,"-",E403,"-",F403)</f>
        <v>174236-4-142</v>
      </c>
      <c r="H403" s="32">
        <f>IFERROR(VLOOKUP(G403,'Base Zero'!A:L,6,FALSE),0)</f>
        <v>25000</v>
      </c>
      <c r="I403" s="32">
        <f>IFERROR(VLOOKUP(G403,'Base Zero'!A:L,7,FALSE),0)</f>
        <v>0</v>
      </c>
      <c r="J403" s="23">
        <f>(H403+I403)</f>
        <v>25000</v>
      </c>
      <c r="K403" s="32">
        <f>(L403-J403)</f>
        <v>-23614</v>
      </c>
      <c r="L403" s="32">
        <f>IFERROR(VLOOKUP(G403,'Base Zero'!$A:$L,10,FALSE),0)</f>
        <v>1386</v>
      </c>
      <c r="M403" s="32">
        <f>+L403-N403</f>
        <v>0</v>
      </c>
      <c r="N403" s="32">
        <f>IFERROR(VLOOKUP(G403,'Base Zero'!$A:$P,16,FALSE),0)</f>
        <v>1386</v>
      </c>
      <c r="O403" s="32">
        <f>IFERROR(VLOOKUP(G403,'Base Execução'!A:M,6,FALSE),0)+IFERROR(VLOOKUP(G403,'Destaque Liberado pela CPRM'!A:F,6,FALSE),0)</f>
        <v>1386</v>
      </c>
      <c r="P403" s="231">
        <f>+N403-O403</f>
        <v>0</v>
      </c>
      <c r="Q403" s="33"/>
      <c r="R403" s="231">
        <f>IFERROR(VLOOKUP(G403,'Base Execução'!$A:$K,7,FALSE),0)</f>
        <v>0</v>
      </c>
      <c r="S403" s="231">
        <f>IFERROR(VLOOKUP(G403,'Base Execução'!$A:$K,9,FALSE),0)</f>
        <v>0</v>
      </c>
      <c r="T403" s="32">
        <f>IFERROR(VLOOKUP(G403,'Base Execução'!$A:$K,11,FALSE),0)</f>
        <v>0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8" t="s">
        <v>307</v>
      </c>
      <c r="C404" s="278"/>
      <c r="D404" s="40"/>
      <c r="E404" s="278"/>
      <c r="F404" s="313"/>
      <c r="G404" s="40"/>
      <c r="H404" s="21">
        <f>SUM(H405:H406)</f>
        <v>0</v>
      </c>
      <c r="I404" s="21">
        <f t="shared" ref="I404:P404" si="184">SUM(I405:I406)</f>
        <v>0</v>
      </c>
      <c r="J404" s="21">
        <f t="shared" si="184"/>
        <v>0</v>
      </c>
      <c r="K404" s="21">
        <f t="shared" si="184"/>
        <v>0</v>
      </c>
      <c r="L404" s="21">
        <f t="shared" si="184"/>
        <v>0</v>
      </c>
      <c r="M404" s="21">
        <f t="shared" si="184"/>
        <v>0</v>
      </c>
      <c r="N404" s="21">
        <f t="shared" si="184"/>
        <v>0</v>
      </c>
      <c r="O404" s="21">
        <f t="shared" si="184"/>
        <v>0</v>
      </c>
      <c r="P404" s="21">
        <f t="shared" si="184"/>
        <v>0</v>
      </c>
      <c r="Q404" s="33"/>
      <c r="R404" s="21">
        <f>SUM(R405:R406)</f>
        <v>0</v>
      </c>
      <c r="S404" s="21">
        <f>SUM(S405:S406)</f>
        <v>0</v>
      </c>
      <c r="T404" s="21">
        <f>SUM(T405:T406)</f>
        <v>0</v>
      </c>
      <c r="U404" s="154">
        <f>+IFERROR((R404/N404),0%)</f>
        <v>0</v>
      </c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24</v>
      </c>
      <c r="D405" s="40">
        <v>202067</v>
      </c>
      <c r="E405" s="278">
        <v>3</v>
      </c>
      <c r="F405" s="313">
        <v>100</v>
      </c>
      <c r="G405" s="40" t="str">
        <f>CONCATENATE(D405,"-",E405,"-",F405)</f>
        <v>202067-3-100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34</v>
      </c>
      <c r="C406" s="278" t="s">
        <v>27</v>
      </c>
      <c r="D406" s="40">
        <v>202067</v>
      </c>
      <c r="E406" s="278">
        <v>4</v>
      </c>
      <c r="F406" s="313">
        <v>100</v>
      </c>
      <c r="G406" s="40" t="str">
        <f>CONCATENATE(D406,"-",E406,"-",F406)</f>
        <v>202067-4-100</v>
      </c>
      <c r="H406" s="32">
        <f>IFERROR(VLOOKUP(G406,'Base Zero'!A:L,6,FALSE),0)</f>
        <v>0</v>
      </c>
      <c r="I406" s="32">
        <f>IFERROR(VLOOKUP(G406,'Base Zero'!A:L,7,FALSE),0)</f>
        <v>0</v>
      </c>
      <c r="J406" s="23">
        <f>(H406+I406)</f>
        <v>0</v>
      </c>
      <c r="K406" s="32">
        <f>(L406-J406)</f>
        <v>0</v>
      </c>
      <c r="L406" s="32">
        <f>IFERROR(VLOOKUP(G406,'Base Zero'!$A:$L,10,FALSE),0)</f>
        <v>0</v>
      </c>
      <c r="M406" s="32">
        <f>+L406-N406</f>
        <v>0</v>
      </c>
      <c r="N406" s="32">
        <f>IFERROR(VLOOKUP(G406,'Base Zero'!$A:$P,16,FALSE),0)</f>
        <v>0</v>
      </c>
      <c r="O406" s="32">
        <f>IFERROR(VLOOKUP(G406,'Base Execução'!A:M,6,FALSE),0)+IFERROR(VLOOKUP(G406,'Destaque Liberado pela CPRM'!A:F,6,FALSE),0)</f>
        <v>0</v>
      </c>
      <c r="P406" s="231">
        <f>+N406-O406</f>
        <v>0</v>
      </c>
      <c r="Q406" s="33"/>
      <c r="R406" s="231">
        <f>IFERROR(VLOOKUP(G406,'Base Execução'!$A:$K,7,FALSE),0)</f>
        <v>0</v>
      </c>
      <c r="S406" s="231">
        <f>IFERROR(VLOOKUP(G406,'Base Execução'!$A:$K,9,FALSE),0)</f>
        <v>0</v>
      </c>
      <c r="T406" s="32">
        <f>IFERROR(VLOOKUP(G406,'Base Execução'!$A:$K,11,FALSE),0)</f>
        <v>0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160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156</v>
      </c>
      <c r="C408" s="278"/>
      <c r="D408" s="40"/>
      <c r="E408" s="278"/>
      <c r="F408" s="279"/>
      <c r="G408" s="278"/>
      <c r="H408" s="21">
        <f t="shared" ref="H408:T408" si="185">SUM(H409:H409)</f>
        <v>275000</v>
      </c>
      <c r="I408" s="21">
        <f t="shared" si="185"/>
        <v>0</v>
      </c>
      <c r="J408" s="21">
        <f t="shared" si="185"/>
        <v>275000</v>
      </c>
      <c r="K408" s="21">
        <f t="shared" si="185"/>
        <v>0</v>
      </c>
      <c r="L408" s="21">
        <f t="shared" si="185"/>
        <v>275000</v>
      </c>
      <c r="M408" s="21">
        <f t="shared" si="185"/>
        <v>0</v>
      </c>
      <c r="N408" s="21">
        <f t="shared" si="185"/>
        <v>275000</v>
      </c>
      <c r="O408" s="21">
        <f t="shared" si="185"/>
        <v>167248.73000000001</v>
      </c>
      <c r="P408" s="228">
        <f t="shared" si="185"/>
        <v>107751.26999999999</v>
      </c>
      <c r="Q408" s="21">
        <f t="shared" si="185"/>
        <v>0</v>
      </c>
      <c r="R408" s="21">
        <f t="shared" si="185"/>
        <v>163608.51999999999</v>
      </c>
      <c r="S408" s="21">
        <f t="shared" si="185"/>
        <v>140800.68</v>
      </c>
      <c r="T408" s="21">
        <f t="shared" si="185"/>
        <v>128788.28</v>
      </c>
      <c r="U408" s="154">
        <f>+IFERROR((R408/N408),0%)</f>
        <v>0.59494007272727267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174247</v>
      </c>
      <c r="E409" s="278">
        <v>3</v>
      </c>
      <c r="F409" s="313">
        <v>142</v>
      </c>
      <c r="G409" s="40" t="str">
        <f>CONCATENATE(D409,"-",E409,"-",F409)</f>
        <v>174247-3-142</v>
      </c>
      <c r="H409" s="32">
        <f>IFERROR(VLOOKUP(G409,'Base Zero'!A:L,6,FALSE),0)</f>
        <v>275000</v>
      </c>
      <c r="I409" s="32">
        <f>IFERROR(VLOOKUP(G409,'Base Zero'!A:L,7,FALSE),0)</f>
        <v>0</v>
      </c>
      <c r="J409" s="23">
        <f>(H409+I409)</f>
        <v>275000</v>
      </c>
      <c r="K409" s="32">
        <f>(L409-J409)</f>
        <v>0</v>
      </c>
      <c r="L409" s="32">
        <f>IFERROR(VLOOKUP(G409,'Base Zero'!$A:$L,10,FALSE),0)</f>
        <v>275000</v>
      </c>
      <c r="M409" s="32">
        <f>+L409-N409</f>
        <v>0</v>
      </c>
      <c r="N409" s="32">
        <f>IFERROR(VLOOKUP(G409,'Base Zero'!$A:$P,16,FALSE),0)</f>
        <v>275000</v>
      </c>
      <c r="O409" s="32">
        <f>IFERROR(VLOOKUP(G409,'Base Execução'!A:M,6,FALSE),0)+IFERROR(VLOOKUP(G409,'Destaque Liberado pela CPRM'!A:F,6,FALSE),0)</f>
        <v>167248.73000000001</v>
      </c>
      <c r="P409" s="231">
        <f>+N409-O409</f>
        <v>107751.26999999999</v>
      </c>
      <c r="Q409" s="32"/>
      <c r="R409" s="231">
        <f>IFERROR(VLOOKUP(G409,'Base Execução'!$A:$K,7,FALSE),0)</f>
        <v>163608.51999999999</v>
      </c>
      <c r="S409" s="231">
        <f>IFERROR(VLOOKUP(G409,'Base Execução'!$A:$K,9,FALSE),0)</f>
        <v>140800.68</v>
      </c>
      <c r="T409" s="32">
        <f>IFERROR(VLOOKUP(G409,'Base Execução'!$A:$K,11,FALSE),0)</f>
        <v>128788.28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424" t="s">
        <v>295</v>
      </c>
      <c r="C410" s="278"/>
      <c r="D410" s="40"/>
      <c r="E410" s="278"/>
      <c r="F410" s="279"/>
      <c r="G410" s="278"/>
      <c r="H410" s="32"/>
      <c r="I410" s="32"/>
      <c r="J410" s="23"/>
      <c r="K410" s="32"/>
      <c r="L410" s="32"/>
      <c r="M410" s="32"/>
      <c r="N410" s="32"/>
      <c r="O410" s="32"/>
      <c r="P410" s="231"/>
      <c r="Q410" s="33"/>
      <c r="R410" s="232"/>
      <c r="S410" s="232"/>
      <c r="T410" s="31"/>
      <c r="U410" s="155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8" t="s">
        <v>157</v>
      </c>
      <c r="C411" s="278"/>
      <c r="D411" s="40"/>
      <c r="E411" s="278"/>
      <c r="F411" s="279"/>
      <c r="G411" s="278"/>
      <c r="H411" s="21">
        <f t="shared" ref="H411:T411" si="186">SUM(H412:H412)</f>
        <v>350000</v>
      </c>
      <c r="I411" s="21">
        <f t="shared" si="186"/>
        <v>0</v>
      </c>
      <c r="J411" s="21">
        <f t="shared" si="186"/>
        <v>350000</v>
      </c>
      <c r="K411" s="21">
        <f t="shared" si="186"/>
        <v>-29037</v>
      </c>
      <c r="L411" s="21">
        <f t="shared" si="186"/>
        <v>320963</v>
      </c>
      <c r="M411" s="21">
        <f t="shared" si="186"/>
        <v>0</v>
      </c>
      <c r="N411" s="21">
        <f t="shared" si="186"/>
        <v>320963</v>
      </c>
      <c r="O411" s="21">
        <f t="shared" si="186"/>
        <v>235816.15</v>
      </c>
      <c r="P411" s="228">
        <f t="shared" si="186"/>
        <v>85146.85</v>
      </c>
      <c r="Q411" s="21">
        <f t="shared" si="186"/>
        <v>0</v>
      </c>
      <c r="R411" s="21">
        <f t="shared" si="186"/>
        <v>192762.83</v>
      </c>
      <c r="S411" s="21">
        <f t="shared" si="186"/>
        <v>96857.85</v>
      </c>
      <c r="T411" s="21">
        <f t="shared" si="186"/>
        <v>83709.210000000006</v>
      </c>
      <c r="U411" s="154">
        <f>+IFERROR((R411/N411),0%)</f>
        <v>0.60057648389378215</v>
      </c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314" t="s">
        <v>23</v>
      </c>
      <c r="C412" s="278" t="s">
        <v>24</v>
      </c>
      <c r="D412" s="40">
        <v>174253</v>
      </c>
      <c r="E412" s="278">
        <v>3</v>
      </c>
      <c r="F412" s="313">
        <v>142</v>
      </c>
      <c r="G412" s="40" t="str">
        <f>CONCATENATE(D412,"-",E412,"-",F412)</f>
        <v>174253-3-142</v>
      </c>
      <c r="H412" s="32">
        <f>IFERROR(VLOOKUP(G412,'Base Zero'!A:L,6,FALSE),0)</f>
        <v>350000</v>
      </c>
      <c r="I412" s="32">
        <f>IFERROR(VLOOKUP(G412,'Base Zero'!A:L,7,FALSE),0)</f>
        <v>0</v>
      </c>
      <c r="J412" s="23">
        <f>(H412+I412)</f>
        <v>350000</v>
      </c>
      <c r="K412" s="32">
        <f>(L412-J412)</f>
        <v>-29037</v>
      </c>
      <c r="L412" s="32">
        <f>IFERROR(VLOOKUP(G412,'Base Zero'!$A:$L,10,FALSE),0)</f>
        <v>320963</v>
      </c>
      <c r="M412" s="32">
        <f>+L412-N412</f>
        <v>0</v>
      </c>
      <c r="N412" s="32">
        <f>IFERROR(VLOOKUP(G412,'Base Zero'!$A:$P,16,FALSE),0)</f>
        <v>320963</v>
      </c>
      <c r="O412" s="32">
        <f>IFERROR(VLOOKUP(G412,'Base Execução'!A:M,6,FALSE),0)+IFERROR(VLOOKUP(G412,'Destaque Liberado pela CPRM'!A:F,6,FALSE),0)</f>
        <v>235816.15</v>
      </c>
      <c r="P412" s="231">
        <f>+N412-O412</f>
        <v>85146.85</v>
      </c>
      <c r="Q412" s="32"/>
      <c r="R412" s="231">
        <f>IFERROR(VLOOKUP(G412,'Base Execução'!$A:$K,7,FALSE),0)</f>
        <v>192762.83</v>
      </c>
      <c r="S412" s="231">
        <f>IFERROR(VLOOKUP(G412,'Base Execução'!$A:$K,9,FALSE),0)</f>
        <v>96857.85</v>
      </c>
      <c r="T412" s="32">
        <f>IFERROR(VLOOKUP(G412,'Base Execução'!$A:$K,11,FALSE),0)</f>
        <v>83709.210000000006</v>
      </c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424" t="s">
        <v>159</v>
      </c>
      <c r="C413" s="278"/>
      <c r="D413" s="40"/>
      <c r="E413" s="278"/>
      <c r="F413" s="279"/>
      <c r="G413" s="278"/>
      <c r="H413" s="32"/>
      <c r="I413" s="32"/>
      <c r="J413" s="23"/>
      <c r="K413" s="32"/>
      <c r="L413" s="32"/>
      <c r="M413" s="32"/>
      <c r="N413" s="32"/>
      <c r="O413" s="32"/>
      <c r="P413" s="231"/>
      <c r="Q413" s="33"/>
      <c r="R413" s="232"/>
      <c r="S413" s="232"/>
      <c r="T413" s="31"/>
      <c r="U413" s="155"/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8" t="s">
        <v>158</v>
      </c>
      <c r="C414" s="278"/>
      <c r="D414" s="40"/>
      <c r="E414" s="278"/>
      <c r="F414" s="279"/>
      <c r="G414" s="278"/>
      <c r="H414" s="21">
        <f t="shared" ref="H414:T414" si="187">SUM(H415:H415)</f>
        <v>150000</v>
      </c>
      <c r="I414" s="21">
        <f t="shared" si="187"/>
        <v>0</v>
      </c>
      <c r="J414" s="21">
        <f t="shared" si="187"/>
        <v>150000</v>
      </c>
      <c r="K414" s="21">
        <f t="shared" si="187"/>
        <v>0</v>
      </c>
      <c r="L414" s="21">
        <f t="shared" si="187"/>
        <v>150000</v>
      </c>
      <c r="M414" s="21">
        <f t="shared" si="187"/>
        <v>0</v>
      </c>
      <c r="N414" s="21">
        <f t="shared" si="187"/>
        <v>150000</v>
      </c>
      <c r="O414" s="21">
        <f t="shared" si="187"/>
        <v>146789.89000000001</v>
      </c>
      <c r="P414" s="228">
        <f t="shared" si="187"/>
        <v>3210.109999999986</v>
      </c>
      <c r="Q414" s="21">
        <f t="shared" si="187"/>
        <v>0</v>
      </c>
      <c r="R414" s="21">
        <f t="shared" si="187"/>
        <v>136651.97</v>
      </c>
      <c r="S414" s="21">
        <f t="shared" si="187"/>
        <v>88709.94</v>
      </c>
      <c r="T414" s="21">
        <f t="shared" si="187"/>
        <v>64143.6</v>
      </c>
      <c r="U414" s="154">
        <f>+IFERROR((R414/N414),0%)</f>
        <v>0.91101313333333334</v>
      </c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314" t="s">
        <v>23</v>
      </c>
      <c r="C415" s="278" t="s">
        <v>24</v>
      </c>
      <c r="D415" s="40">
        <v>174259</v>
      </c>
      <c r="E415" s="278">
        <v>3</v>
      </c>
      <c r="F415" s="313">
        <v>142</v>
      </c>
      <c r="G415" s="40" t="str">
        <f>CONCATENATE(D415,"-",E415,"-",F415)</f>
        <v>174259-3-142</v>
      </c>
      <c r="H415" s="32">
        <f>IFERROR(VLOOKUP(G415,'Base Zero'!A:L,6,FALSE),0)</f>
        <v>150000</v>
      </c>
      <c r="I415" s="32">
        <f>IFERROR(VLOOKUP(G415,'Base Zero'!A:L,7,FALSE),0)</f>
        <v>0</v>
      </c>
      <c r="J415" s="23">
        <f>(H415+I415)</f>
        <v>150000</v>
      </c>
      <c r="K415" s="32">
        <f>(L415-J415)</f>
        <v>0</v>
      </c>
      <c r="L415" s="32">
        <f>IFERROR(VLOOKUP(G415,'Base Zero'!$A:$L,10,FALSE),0)</f>
        <v>150000</v>
      </c>
      <c r="M415" s="32">
        <f>+L415-N415</f>
        <v>0</v>
      </c>
      <c r="N415" s="32">
        <f>IFERROR(VLOOKUP(G415,'Base Zero'!$A:$P,16,FALSE),0)</f>
        <v>150000</v>
      </c>
      <c r="O415" s="32">
        <f>IFERROR(VLOOKUP(G415,'Base Execução'!A:M,6,FALSE),0)+IFERROR(VLOOKUP(G415,'Destaque Liberado pela CPRM'!A:F,6,FALSE),0)</f>
        <v>146789.89000000001</v>
      </c>
      <c r="P415" s="231">
        <f>+N415-O415</f>
        <v>3210.109999999986</v>
      </c>
      <c r="Q415" s="32"/>
      <c r="R415" s="231">
        <f>IFERROR(VLOOKUP(G415,'Base Execução'!$A:$K,7,FALSE),0)</f>
        <v>136651.97</v>
      </c>
      <c r="S415" s="231">
        <f>IFERROR(VLOOKUP(G415,'Base Execução'!$A:$K,9,FALSE),0)</f>
        <v>88709.94</v>
      </c>
      <c r="T415" s="32">
        <f>IFERROR(VLOOKUP(G415,'Base Execução'!$A:$K,11,FALSE),0)</f>
        <v>64143.6</v>
      </c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thickBot="1" x14ac:dyDescent="0.25">
      <c r="A416" s="95"/>
      <c r="B416" s="35"/>
      <c r="C416" s="269"/>
      <c r="D416" s="39"/>
      <c r="E416" s="269"/>
      <c r="F416" s="44"/>
      <c r="G416" s="269"/>
      <c r="H416" s="31"/>
      <c r="I416" s="31"/>
      <c r="J416" s="28"/>
      <c r="K416" s="31"/>
      <c r="L416" s="31"/>
      <c r="M416" s="31"/>
      <c r="N416" s="31"/>
      <c r="O416" s="31"/>
      <c r="P416" s="232"/>
      <c r="Q416" s="35"/>
      <c r="R416" s="232"/>
      <c r="S416" s="232"/>
      <c r="T416" s="31"/>
      <c r="U416" s="154"/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24" ht="30" customHeight="1" thickTop="1" thickBot="1" x14ac:dyDescent="0.25">
      <c r="B417" s="415" t="s">
        <v>47</v>
      </c>
      <c r="C417" s="415"/>
      <c r="D417" s="414"/>
      <c r="E417" s="413"/>
      <c r="F417" s="417"/>
      <c r="G417" s="411"/>
      <c r="H417" s="412">
        <f t="shared" ref="H417:O417" si="188">H393+H379+H353+H327+H291+H281+H257+H248+H224+H208+H183+H149+H139+H125+H97+H83+H65+H57+H37+H29+H9</f>
        <v>517546895</v>
      </c>
      <c r="I417" s="412">
        <f t="shared" si="188"/>
        <v>-3436635</v>
      </c>
      <c r="J417" s="412">
        <f t="shared" si="188"/>
        <v>514110260</v>
      </c>
      <c r="K417" s="412">
        <f t="shared" si="188"/>
        <v>-2042547</v>
      </c>
      <c r="L417" s="412">
        <f t="shared" si="188"/>
        <v>512067713</v>
      </c>
      <c r="M417" s="412">
        <f t="shared" si="188"/>
        <v>455881</v>
      </c>
      <c r="N417" s="412">
        <f t="shared" si="188"/>
        <v>511611832</v>
      </c>
      <c r="O417" s="412">
        <f t="shared" si="188"/>
        <v>361631482.84999996</v>
      </c>
      <c r="P417" s="412">
        <f>P393+P379+P353+P327+P291+P281+P257+P248+P224+P208+P183+P149+P139+P125+P97+P83+P65+P57+P37+P29+P9</f>
        <v>152836416.16</v>
      </c>
      <c r="Q417" s="416"/>
      <c r="R417" s="412">
        <f>R393+R379+R353+R327+R291+R281+R257+R248+R224+R208+R183+R149+R139+R125+R97+R83+R65+R57+R37+R29+R9</f>
        <v>351366242.99000001</v>
      </c>
      <c r="S417" s="412">
        <f>S393+S379+S353+S327+S291+S281+S257+S248+S224+S208+S183+S149+S139+S125+S97+S83+S65+S57+S37+S29+S9</f>
        <v>252447579.33000001</v>
      </c>
      <c r="T417" s="412">
        <f>T393+T379+T353+T327+T291+T281+T257+T248+T224+T208+T183+T149+T139+T125+T97+T83+T65+T57+T37+T29+T9</f>
        <v>228322764.01000002</v>
      </c>
      <c r="U417" s="418">
        <f>(R417/N417)</f>
        <v>0.68678287133515714</v>
      </c>
      <c r="W417" s="14"/>
      <c r="X417" s="14"/>
    </row>
    <row r="418" spans="2:24" ht="15" customHeight="1" thickTop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2:24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2:24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2:24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2:24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2:24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2:24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2:24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2:24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2:24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2:24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2:24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2:24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2:24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2:24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2" max="16383" man="1"/>
  </rowBreaks>
  <ignoredErrors>
    <ignoredError sqref="J400:T400 J407:T407 J409:M409 J412:M412 J402:M402 J410:T410 J394:T394 P402:Q402 P409:Q409 P412:Q41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44771</v>
      </c>
    </row>
    <row r="6" spans="1:27" ht="20.100000000000001" hidden="1" customHeight="1" x14ac:dyDescent="0.2">
      <c r="B6" s="85" t="s">
        <v>21</v>
      </c>
      <c r="C6" s="90"/>
      <c r="D6" s="376"/>
      <c r="E6" s="506" t="s">
        <v>89</v>
      </c>
      <c r="F6" s="507"/>
      <c r="G6" s="507"/>
      <c r="H6" s="508"/>
    </row>
    <row r="7" spans="1:27" s="91" customFormat="1" ht="18.75" customHeight="1" thickTop="1" x14ac:dyDescent="0.2">
      <c r="A7" s="63"/>
      <c r="B7" s="514" t="s">
        <v>21</v>
      </c>
      <c r="C7" s="509" t="s">
        <v>93</v>
      </c>
      <c r="D7" s="509" t="s">
        <v>127</v>
      </c>
      <c r="E7" s="509" t="s">
        <v>94</v>
      </c>
      <c r="F7" s="509" t="s">
        <v>308</v>
      </c>
      <c r="G7" s="509" t="s">
        <v>219</v>
      </c>
      <c r="H7" s="509" t="s">
        <v>105</v>
      </c>
      <c r="I7" s="509" t="s">
        <v>95</v>
      </c>
      <c r="J7" s="509" t="s">
        <v>299</v>
      </c>
      <c r="K7" s="509" t="s">
        <v>19</v>
      </c>
      <c r="L7" s="509" t="s">
        <v>332</v>
      </c>
      <c r="M7" s="509" t="s">
        <v>20</v>
      </c>
      <c r="N7" s="509" t="s">
        <v>331</v>
      </c>
      <c r="O7" s="509" t="s">
        <v>61</v>
      </c>
      <c r="P7" s="509" t="s">
        <v>333</v>
      </c>
      <c r="Q7" s="511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2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2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34812730.209999993</v>
      </c>
      <c r="I12" s="141">
        <f>G12-H12</f>
        <v>187269.79000000656</v>
      </c>
      <c r="J12" s="375">
        <f t="shared" ref="J12:J26" si="0">IFERROR((H12/G12),0%)</f>
        <v>0.9946494345714284</v>
      </c>
      <c r="K12" s="141">
        <f>'Execução Orçamentária'!R65</f>
        <v>33865284.420000002</v>
      </c>
      <c r="L12" s="374">
        <f t="shared" ref="L12:L26" si="1">IFERROR((K12/G12),0%)</f>
        <v>0.96757955485714287</v>
      </c>
      <c r="M12" s="141">
        <f>'Execução Orçamentária'!S65</f>
        <v>13162920.9</v>
      </c>
      <c r="N12" s="374">
        <f t="shared" ref="N12:N26" si="2">IFERROR((M12/G12),0%)</f>
        <v>0.37608345428571427</v>
      </c>
      <c r="O12" s="141">
        <f>'Execução Orçamentária'!T65</f>
        <v>11956630.780000001</v>
      </c>
      <c r="P12" s="374">
        <f t="shared" ref="P12:P26" si="3">IFERROR((O12/G12),0%)</f>
        <v>0.34161802228571431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Orçamentária'!J139</f>
        <v>1450000</v>
      </c>
      <c r="D13" s="149">
        <f>'Execução Orçamentária'!K139</f>
        <v>-170832</v>
      </c>
      <c r="E13" s="149">
        <f>'Execução Orçamentária'!L139</f>
        <v>1279168</v>
      </c>
      <c r="F13" s="149">
        <f>'Execução Orçamentária'!M139</f>
        <v>0</v>
      </c>
      <c r="G13" s="149">
        <f>'Execução Orçamentária'!N139</f>
        <v>1279168</v>
      </c>
      <c r="H13" s="149">
        <f>'Execução Orçamentária'!O139</f>
        <v>1201880.3700000001</v>
      </c>
      <c r="I13" s="340">
        <f>G13-H13</f>
        <v>77287.629999999888</v>
      </c>
      <c r="J13" s="375">
        <f t="shared" si="0"/>
        <v>0.93957976591034176</v>
      </c>
      <c r="K13" s="340">
        <f>'Execução Orçamentária'!R139</f>
        <v>919103.06</v>
      </c>
      <c r="L13" s="374">
        <f t="shared" si="1"/>
        <v>0.71851630122079357</v>
      </c>
      <c r="M13" s="340">
        <f>'Execução Orçamentária'!S139</f>
        <v>653862.1</v>
      </c>
      <c r="N13" s="374">
        <f t="shared" si="2"/>
        <v>0.51116202093861007</v>
      </c>
      <c r="O13" s="340">
        <f>'Execução Orçamentária'!T139</f>
        <v>505250.25</v>
      </c>
      <c r="P13" s="374">
        <f t="shared" si="3"/>
        <v>0.39498349708560565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Orçamentária'!J149</f>
        <v>18800000</v>
      </c>
      <c r="D14" s="142">
        <f>'Execução Orçamentária'!K149</f>
        <v>-2218789</v>
      </c>
      <c r="E14" s="142">
        <f>'Execução Orçamentária'!L149</f>
        <v>16581211</v>
      </c>
      <c r="F14" s="142">
        <f>'Execução Orçamentária'!M149</f>
        <v>0</v>
      </c>
      <c r="G14" s="142">
        <f>'Execução Orçamentária'!N149</f>
        <v>16581211</v>
      </c>
      <c r="H14" s="142">
        <f>'Execução Orçamentária'!O149</f>
        <v>16400168.029999999</v>
      </c>
      <c r="I14" s="141">
        <f>+G14-H14</f>
        <v>181042.97000000067</v>
      </c>
      <c r="J14" s="375">
        <f t="shared" si="0"/>
        <v>0.98908143862351183</v>
      </c>
      <c r="K14" s="141">
        <f>'Execução Orçamentária'!R149</f>
        <v>16271483.959999999</v>
      </c>
      <c r="L14" s="374">
        <f t="shared" si="1"/>
        <v>0.98132060197533211</v>
      </c>
      <c r="M14" s="141">
        <f>'Execução Orçamentária'!S149</f>
        <v>789465.14</v>
      </c>
      <c r="N14" s="374">
        <f t="shared" si="2"/>
        <v>4.7612031473455108E-2</v>
      </c>
      <c r="O14" s="141">
        <f>'Execução Orçamentária'!T149</f>
        <v>706125.31</v>
      </c>
      <c r="P14" s="374">
        <f t="shared" si="3"/>
        <v>4.2585870838987579E-2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Orçamentária'!J183</f>
        <v>5000000</v>
      </c>
      <c r="D15" s="142">
        <f>'Execução Orçamentária'!K183</f>
        <v>-589075</v>
      </c>
      <c r="E15" s="142">
        <f>'Execução Orçamentária'!L183</f>
        <v>4410925</v>
      </c>
      <c r="F15" s="142">
        <f>'Execução Orçamentária'!M183</f>
        <v>0</v>
      </c>
      <c r="G15" s="142">
        <f>'Execução Orçamentária'!N183</f>
        <v>4410925</v>
      </c>
      <c r="H15" s="142">
        <f>'Execução Orçamentária'!O183</f>
        <v>3692694.96</v>
      </c>
      <c r="I15" s="141">
        <f>+G15-H15</f>
        <v>718230.04</v>
      </c>
      <c r="J15" s="375">
        <f t="shared" si="0"/>
        <v>0.83717019899454193</v>
      </c>
      <c r="K15" s="141">
        <f>'Execução Orçamentária'!R183</f>
        <v>3452507.95</v>
      </c>
      <c r="L15" s="374">
        <f t="shared" si="1"/>
        <v>0.7827174458872006</v>
      </c>
      <c r="M15" s="141">
        <f>'Execução Orçamentária'!S183</f>
        <v>1149311.3600000001</v>
      </c>
      <c r="N15" s="374">
        <f t="shared" si="2"/>
        <v>0.26056016821868433</v>
      </c>
      <c r="O15" s="141">
        <f>'Execução Orçamentária'!T183</f>
        <v>1097055.7</v>
      </c>
      <c r="P15" s="374">
        <f t="shared" si="3"/>
        <v>0.24871329709754755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0</v>
      </c>
      <c r="G16" s="142">
        <f>'Execução Orçamentária'!N208</f>
        <v>4400000</v>
      </c>
      <c r="H16" s="142">
        <f>'Execução Orçamentária'!O208</f>
        <v>4368529.28</v>
      </c>
      <c r="I16" s="141">
        <f>+G16-H16</f>
        <v>31470.719999999739</v>
      </c>
      <c r="J16" s="375">
        <f t="shared" si="0"/>
        <v>0.99284756363636373</v>
      </c>
      <c r="K16" s="141">
        <f>'Execução Orçamentária'!R208</f>
        <v>4169256.29</v>
      </c>
      <c r="L16" s="374">
        <f t="shared" si="1"/>
        <v>0.94755824772727271</v>
      </c>
      <c r="M16" s="141">
        <f>'Execução Orçamentária'!S208</f>
        <v>1817285.81</v>
      </c>
      <c r="N16" s="374">
        <f t="shared" si="2"/>
        <v>0.41301950227272727</v>
      </c>
      <c r="O16" s="141">
        <f>'Execução Orçamentária'!T208</f>
        <v>1494093.76</v>
      </c>
      <c r="P16" s="374">
        <f t="shared" si="3"/>
        <v>0.33956676363636362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2350564.38</v>
      </c>
      <c r="I17" s="141">
        <f t="shared" ref="I17:I24" si="4">+G17-H17</f>
        <v>295990.62000000011</v>
      </c>
      <c r="J17" s="375">
        <f t="shared" si="0"/>
        <v>0.88816003445989211</v>
      </c>
      <c r="K17" s="141">
        <f>'Execução Orçamentária'!R224</f>
        <v>2349614.56</v>
      </c>
      <c r="L17" s="374">
        <f t="shared" si="1"/>
        <v>0.88780114526242604</v>
      </c>
      <c r="M17" s="141">
        <f>'Execução Orçamentária'!S224</f>
        <v>820331.73</v>
      </c>
      <c r="N17" s="374">
        <f t="shared" si="2"/>
        <v>0.30996209411858056</v>
      </c>
      <c r="O17" s="141">
        <f>'Execução Orçamentária'!T224</f>
        <v>788367.52</v>
      </c>
      <c r="P17" s="374">
        <f t="shared" si="3"/>
        <v>0.29788442711373841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Orçamentária'!J257</f>
        <v>10000000</v>
      </c>
      <c r="D19" s="142">
        <f>'Execução Orçamentária'!K257</f>
        <v>-1178149</v>
      </c>
      <c r="E19" s="142">
        <f>'Execução Orçamentária'!L257</f>
        <v>8821851</v>
      </c>
      <c r="F19" s="142">
        <f>'Execução Orçamentária'!M257</f>
        <v>0</v>
      </c>
      <c r="G19" s="142">
        <f>'Execução Orçamentária'!N257</f>
        <v>8821851</v>
      </c>
      <c r="H19" s="142">
        <f>'Execução Orçamentária'!O257</f>
        <v>8750137.9600000009</v>
      </c>
      <c r="I19" s="141">
        <f t="shared" si="4"/>
        <v>71713.039999999106</v>
      </c>
      <c r="J19" s="375">
        <f t="shared" si="0"/>
        <v>0.99187097583035588</v>
      </c>
      <c r="K19" s="141">
        <f>'Execução Orçamentária'!R257</f>
        <v>7675551.8499999996</v>
      </c>
      <c r="L19" s="374">
        <f t="shared" si="1"/>
        <v>0.87006137940892447</v>
      </c>
      <c r="M19" s="141">
        <f>'Execução Orçamentária'!S257</f>
        <v>3898753.66</v>
      </c>
      <c r="N19" s="374">
        <f t="shared" si="2"/>
        <v>0.44194281449550671</v>
      </c>
      <c r="O19" s="141">
        <f>'Execução Orçamentária'!T257</f>
        <v>3443912.6</v>
      </c>
      <c r="P19" s="374">
        <f t="shared" si="3"/>
        <v>0.39038435357840434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1193143.7</v>
      </c>
      <c r="I20" s="141">
        <f t="shared" si="4"/>
        <v>130133.30000000005</v>
      </c>
      <c r="J20" s="375">
        <f t="shared" si="0"/>
        <v>0.90165830736875197</v>
      </c>
      <c r="K20" s="141">
        <f>'Execução Orçamentária'!R281</f>
        <v>1189215.83</v>
      </c>
      <c r="L20" s="374">
        <f t="shared" si="1"/>
        <v>0.89869001728285169</v>
      </c>
      <c r="M20" s="141">
        <f>'Execução Orçamentária'!S281</f>
        <v>239329.31</v>
      </c>
      <c r="N20" s="374">
        <f t="shared" si="2"/>
        <v>0.18086108199568193</v>
      </c>
      <c r="O20" s="141">
        <f>'Execução Orçamentária'!T281</f>
        <v>211176.35</v>
      </c>
      <c r="P20" s="374">
        <f t="shared" si="3"/>
        <v>0.1595858992486078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170478</v>
      </c>
      <c r="G21" s="142">
        <f>'Execução Orçamentária'!N291</f>
        <v>6645911</v>
      </c>
      <c r="H21" s="142">
        <f>'Execução Orçamentária'!O291</f>
        <v>5542333.6400000006</v>
      </c>
      <c r="I21" s="141">
        <f t="shared" si="4"/>
        <v>1103577.3599999994</v>
      </c>
      <c r="J21" s="375">
        <f t="shared" si="0"/>
        <v>0.83394641306511641</v>
      </c>
      <c r="K21" s="141">
        <f>'Execução Orçamentária'!R291</f>
        <v>4715257.3</v>
      </c>
      <c r="L21" s="374">
        <f t="shared" si="1"/>
        <v>0.70949750906986264</v>
      </c>
      <c r="M21" s="141">
        <f>'Execução Orçamentária'!S291</f>
        <v>1599062.52</v>
      </c>
      <c r="N21" s="374">
        <f t="shared" si="2"/>
        <v>0.24060847639999994</v>
      </c>
      <c r="O21" s="141">
        <f>'Execução Orçamentária'!T291</f>
        <v>1513787.2199999997</v>
      </c>
      <c r="P21" s="374">
        <f t="shared" si="3"/>
        <v>0.22777723324913615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Orçamentária'!J327</f>
        <v>10700000</v>
      </c>
      <c r="D22" s="141">
        <f>'Execução Orçamentária'!K327</f>
        <v>789000</v>
      </c>
      <c r="E22" s="141">
        <f>'Execução Orçamentária'!L327</f>
        <v>11489000</v>
      </c>
      <c r="F22" s="141">
        <f>'Execução Orçamentária'!M327</f>
        <v>0</v>
      </c>
      <c r="G22" s="141">
        <f>'Execução Orçamentária'!N327</f>
        <v>11489000</v>
      </c>
      <c r="H22" s="141">
        <f>'Execução Orçamentária'!O327</f>
        <v>10891434.620000001</v>
      </c>
      <c r="I22" s="141">
        <f t="shared" si="4"/>
        <v>597565.37999999896</v>
      </c>
      <c r="J22" s="375">
        <f t="shared" si="0"/>
        <v>0.94798804247541135</v>
      </c>
      <c r="K22" s="141">
        <f>'Execução Orçamentária'!R327</f>
        <v>9706436.8500000015</v>
      </c>
      <c r="L22" s="374">
        <f t="shared" si="1"/>
        <v>0.8448461006179826</v>
      </c>
      <c r="M22" s="141">
        <f>'Execução Orçamentária'!S327</f>
        <v>2852387.1799999997</v>
      </c>
      <c r="N22" s="374">
        <f t="shared" si="2"/>
        <v>0.24827114457306987</v>
      </c>
      <c r="O22" s="141">
        <f>'Execução Orçamentária'!T327</f>
        <v>2460534.64</v>
      </c>
      <c r="P22" s="374">
        <f t="shared" si="3"/>
        <v>0.21416438680476979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Orçamentária'!J353</f>
        <v>15200000</v>
      </c>
      <c r="D23" s="141">
        <f>'Execução Orçamentária'!K353</f>
        <v>-465725</v>
      </c>
      <c r="E23" s="141">
        <f>'Execução Orçamentária'!L353</f>
        <v>14734275</v>
      </c>
      <c r="F23" s="141">
        <f>'Execução Orçamentária'!M353</f>
        <v>0</v>
      </c>
      <c r="G23" s="141">
        <f>'Execução Orçamentária'!N353</f>
        <v>14734275</v>
      </c>
      <c r="H23" s="141">
        <f>'Execução Orçamentária'!O353</f>
        <v>14079680.379999999</v>
      </c>
      <c r="I23" s="141">
        <f t="shared" si="4"/>
        <v>654594.62000000104</v>
      </c>
      <c r="J23" s="375">
        <f t="shared" si="0"/>
        <v>0.95557334039170572</v>
      </c>
      <c r="K23" s="141">
        <f>'Execução Orçamentária'!R353</f>
        <v>13793569.109999999</v>
      </c>
      <c r="L23" s="374">
        <f t="shared" si="1"/>
        <v>0.93615526451080899</v>
      </c>
      <c r="M23" s="141">
        <f>'Execução Orçamentária'!S353</f>
        <v>3812390.04</v>
      </c>
      <c r="N23" s="374">
        <f t="shared" si="2"/>
        <v>0.25874296767231508</v>
      </c>
      <c r="O23" s="141">
        <f>'Execução Orçamentária'!T353</f>
        <v>3414937.53</v>
      </c>
      <c r="P23" s="374">
        <f t="shared" si="3"/>
        <v>0.23176827702754291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Orçamentária'!J379</f>
        <v>8500000</v>
      </c>
      <c r="D24" s="141">
        <f>'Execução Orçamentária'!K379</f>
        <v>0</v>
      </c>
      <c r="E24" s="141">
        <f>'Execução Orçamentária'!L379</f>
        <v>8500000</v>
      </c>
      <c r="F24" s="141">
        <f>'Execução Orçamentária'!M379</f>
        <v>0</v>
      </c>
      <c r="G24" s="141">
        <f>'Execução Orçamentária'!N379</f>
        <v>8500000</v>
      </c>
      <c r="H24" s="141">
        <f>'Execução Orçamentária'!O379</f>
        <v>8021289.7800000003</v>
      </c>
      <c r="I24" s="141">
        <f t="shared" si="4"/>
        <v>478710.21999999974</v>
      </c>
      <c r="J24" s="375">
        <f t="shared" si="0"/>
        <v>0.94368115058823532</v>
      </c>
      <c r="K24" s="141">
        <f>'Execução Orçamentária'!R379</f>
        <v>7725325.1600000001</v>
      </c>
      <c r="L24" s="374">
        <f t="shared" si="1"/>
        <v>0.90886178352941183</v>
      </c>
      <c r="M24" s="141">
        <f>'Execução Orçamentária'!S379</f>
        <v>2715891.0700000003</v>
      </c>
      <c r="N24" s="374">
        <f t="shared" si="2"/>
        <v>0.31951659647058828</v>
      </c>
      <c r="O24" s="141">
        <f>'Execução Orçamentária'!T379</f>
        <v>2449695.4</v>
      </c>
      <c r="P24" s="374">
        <f t="shared" si="3"/>
        <v>0.28819945882352938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Orçamentária'!J393</f>
        <v>1000000</v>
      </c>
      <c r="D25" s="147">
        <f>'Execução Orçamentária'!K393</f>
        <v>-102651</v>
      </c>
      <c r="E25" s="147">
        <f>'Execução Orçamentária'!L393</f>
        <v>897349</v>
      </c>
      <c r="F25" s="147">
        <f>'Execução Orçamentária'!M393</f>
        <v>0</v>
      </c>
      <c r="G25" s="147">
        <f>'Execução Orçamentária'!N393</f>
        <v>897349</v>
      </c>
      <c r="H25" s="147">
        <f>'Execução Orçamentária'!O393</f>
        <v>682860.29</v>
      </c>
      <c r="I25" s="147">
        <f>G25-H25</f>
        <v>214488.70999999996</v>
      </c>
      <c r="J25" s="390">
        <f t="shared" si="0"/>
        <v>0.76097515013668038</v>
      </c>
      <c r="K25" s="426">
        <f>'Execução Orçamentária'!R393</f>
        <v>610247.02999999991</v>
      </c>
      <c r="L25" s="374">
        <f t="shared" si="1"/>
        <v>0.68005539650682167</v>
      </c>
      <c r="M25" s="426">
        <f>'Execução Orçamentária'!S393</f>
        <v>393287.85000000003</v>
      </c>
      <c r="N25" s="374">
        <f t="shared" si="2"/>
        <v>0.43827747063851413</v>
      </c>
      <c r="O25" s="426">
        <f>'Execução Orçamentária'!T393</f>
        <v>329804.95999999996</v>
      </c>
      <c r="P25" s="374">
        <f t="shared" si="3"/>
        <v>0.36753254307967131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170478</v>
      </c>
      <c r="G26" s="385">
        <f t="shared" si="5"/>
        <v>119329522</v>
      </c>
      <c r="H26" s="385">
        <f t="shared" si="5"/>
        <v>112110012.36</v>
      </c>
      <c r="I26" s="385">
        <f t="shared" si="5"/>
        <v>7219509.6400000053</v>
      </c>
      <c r="J26" s="386">
        <f t="shared" si="0"/>
        <v>0.93949938356411078</v>
      </c>
      <c r="K26" s="385">
        <f>SUM(K11:K25)</f>
        <v>106565418.13000001</v>
      </c>
      <c r="L26" s="386">
        <f t="shared" si="1"/>
        <v>0.89303481941375751</v>
      </c>
      <c r="M26" s="385">
        <f>SUM(M11:M25)</f>
        <v>34026843.43</v>
      </c>
      <c r="N26" s="386">
        <f t="shared" si="2"/>
        <v>0.28515025334635968</v>
      </c>
      <c r="O26" s="385">
        <f>SUM(O11:O25)</f>
        <v>30493936.780000001</v>
      </c>
      <c r="P26" s="386">
        <f t="shared" si="3"/>
        <v>0.25554394477504067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44771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6" t="s">
        <v>89</v>
      </c>
      <c r="F6" s="507"/>
      <c r="G6" s="507"/>
      <c r="H6" s="508"/>
    </row>
    <row r="7" spans="1:27" s="91" customFormat="1" ht="18.75" customHeight="1" thickTop="1" x14ac:dyDescent="0.2">
      <c r="A7" s="63"/>
      <c r="B7" s="514" t="s">
        <v>21</v>
      </c>
      <c r="C7" s="509" t="s">
        <v>93</v>
      </c>
      <c r="D7" s="509" t="s">
        <v>127</v>
      </c>
      <c r="E7" s="509" t="s">
        <v>94</v>
      </c>
      <c r="F7" s="509" t="s">
        <v>309</v>
      </c>
      <c r="G7" s="509" t="s">
        <v>219</v>
      </c>
      <c r="H7" s="509" t="s">
        <v>105</v>
      </c>
      <c r="I7" s="509" t="s">
        <v>95</v>
      </c>
      <c r="J7" s="509" t="s">
        <v>299</v>
      </c>
      <c r="K7" s="509" t="s">
        <v>19</v>
      </c>
      <c r="L7" s="509" t="s">
        <v>332</v>
      </c>
      <c r="M7" s="509" t="s">
        <v>20</v>
      </c>
      <c r="N7" s="509" t="s">
        <v>331</v>
      </c>
      <c r="O7" s="509" t="s">
        <v>61</v>
      </c>
      <c r="P7" s="509" t="s">
        <v>333</v>
      </c>
      <c r="Q7" s="511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2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2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Orçamentária'!J125</f>
        <v>340226868</v>
      </c>
      <c r="D11" s="149">
        <f>'Execução Orçamentária'!K125</f>
        <v>3436635</v>
      </c>
      <c r="E11" s="149">
        <f>'Execução Orçamentária'!L125</f>
        <v>343663503</v>
      </c>
      <c r="F11" s="149">
        <f>'Execução Orçamentária'!M125</f>
        <v>0</v>
      </c>
      <c r="G11" s="149">
        <f>'Execução Orçamentária'!N125</f>
        <v>343663503</v>
      </c>
      <c r="H11" s="149">
        <f>'Execução Orçamentária'!O125</f>
        <v>214184639.28999999</v>
      </c>
      <c r="I11" s="340">
        <f>+G11-H11</f>
        <v>129478863.71000001</v>
      </c>
      <c r="J11" s="374">
        <f>IFERROR((H11/G11),0%)</f>
        <v>0.62323941128540494</v>
      </c>
      <c r="K11" s="427">
        <f>'Execução Orçamentária'!R125</f>
        <v>209585191</v>
      </c>
      <c r="L11" s="374">
        <f>IFERROR((K11/G11),0%)</f>
        <v>0.6098558303993078</v>
      </c>
      <c r="M11" s="427">
        <f>'Execução Orçamentária'!S125</f>
        <v>195200625.72</v>
      </c>
      <c r="N11" s="374">
        <f>IFERROR((M11/G11),0%)</f>
        <v>0.5679992900497205</v>
      </c>
      <c r="O11" s="427">
        <f>'Execução Orçamentária'!T125</f>
        <v>174995593.19999999</v>
      </c>
      <c r="P11" s="374">
        <f>IFERROR((O11/G11),0%)</f>
        <v>0.50920621966656721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24030876.170000002</v>
      </c>
      <c r="I12" s="147">
        <f>+G12-H12</f>
        <v>2558230.8299999982</v>
      </c>
      <c r="J12" s="374">
        <f t="shared" ref="J12:J19" si="0">IFERROR((H12/G12),0%)</f>
        <v>0.90378650813658401</v>
      </c>
      <c r="K12" s="141">
        <f>'Execução Orçamentária'!R83</f>
        <v>23929826.120000005</v>
      </c>
      <c r="L12" s="374">
        <f t="shared" ref="L12:L19" si="1">IFERROR((K12/G12),0%)</f>
        <v>0.89998607775733142</v>
      </c>
      <c r="M12" s="141">
        <f>'Execução Orçamentária'!S83</f>
        <v>11984699.639999999</v>
      </c>
      <c r="N12" s="374">
        <f t="shared" ref="N12:N19" si="2">IFERROR((M12/G12),0%)</f>
        <v>0.45073720001201989</v>
      </c>
      <c r="O12" s="141">
        <f>'Execução Orçamentária'!T83</f>
        <v>11734704.52</v>
      </c>
      <c r="P12" s="374">
        <f t="shared" ref="P12:P19" si="3">IFERROR((O12/G12),0%)</f>
        <v>0.44133503693824694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780411.41</v>
      </c>
      <c r="I13" s="147">
        <f t="shared" ref="I13:I18" si="4">+G13-H13</f>
        <v>1169090.5899999999</v>
      </c>
      <c r="J13" s="374">
        <f t="shared" si="0"/>
        <v>0.40031321332319741</v>
      </c>
      <c r="K13" s="141">
        <f>'Execução Orçamentária'!R104</f>
        <v>763292.49</v>
      </c>
      <c r="L13" s="374">
        <f t="shared" si="1"/>
        <v>0.39153203741263154</v>
      </c>
      <c r="M13" s="141">
        <f>'Execução Orçamentária'!S104</f>
        <v>761411.17</v>
      </c>
      <c r="N13" s="374">
        <f t="shared" si="2"/>
        <v>0.39056701147267353</v>
      </c>
      <c r="O13" s="141">
        <f>'Execução Orçamentária'!T104</f>
        <v>650734.21</v>
      </c>
      <c r="P13" s="374">
        <f t="shared" si="3"/>
        <v>0.33379509741462177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80019.22</v>
      </c>
      <c r="I14" s="147">
        <f t="shared" si="4"/>
        <v>153157.78</v>
      </c>
      <c r="J14" s="374">
        <f t="shared" si="0"/>
        <v>0.34316943780904635</v>
      </c>
      <c r="K14" s="141">
        <f>'Execução Orçamentária'!R111</f>
        <v>76990.850000000006</v>
      </c>
      <c r="L14" s="374">
        <f t="shared" si="1"/>
        <v>0.33018200765941758</v>
      </c>
      <c r="M14" s="141">
        <f>'Execução Orçamentária'!S111</f>
        <v>75264.210000000006</v>
      </c>
      <c r="N14" s="374">
        <f t="shared" si="2"/>
        <v>0.32277716069766749</v>
      </c>
      <c r="O14" s="141">
        <f>'Execução Orçamentária'!T111</f>
        <v>75264.210000000006</v>
      </c>
      <c r="P14" s="374">
        <f t="shared" si="3"/>
        <v>0.32277716069766749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8645406.3200000003</v>
      </c>
      <c r="I15" s="147">
        <f t="shared" si="4"/>
        <v>8983331.6799999997</v>
      </c>
      <c r="J15" s="374">
        <f t="shared" si="0"/>
        <v>0.49041549769473008</v>
      </c>
      <c r="K15" s="141">
        <f>'Execução Orçamentária'!R118</f>
        <v>8645406.3200000003</v>
      </c>
      <c r="L15" s="374">
        <f t="shared" si="1"/>
        <v>0.49041549769473008</v>
      </c>
      <c r="M15" s="141">
        <f>'Execução Orçamentária'!S118</f>
        <v>8609225.2300000004</v>
      </c>
      <c r="N15" s="374">
        <f t="shared" si="2"/>
        <v>0.48836310517519749</v>
      </c>
      <c r="O15" s="141">
        <f>'Execução Orçamentária'!T118</f>
        <v>8609225.2300000004</v>
      </c>
      <c r="P15" s="374">
        <f t="shared" si="3"/>
        <v>0.48836310517519749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197886.65</v>
      </c>
      <c r="I16" s="147">
        <f t="shared" si="4"/>
        <v>154981.35</v>
      </c>
      <c r="J16" s="374">
        <f t="shared" si="0"/>
        <v>0.56079511318680075</v>
      </c>
      <c r="K16" s="141">
        <f>'Execução Orçamentária'!R29</f>
        <v>197886.65</v>
      </c>
      <c r="L16" s="374">
        <f t="shared" si="1"/>
        <v>0.56079511318680075</v>
      </c>
      <c r="M16" s="141">
        <f>'Execução Orçamentária'!S29</f>
        <v>187278.5</v>
      </c>
      <c r="N16" s="374">
        <f t="shared" si="2"/>
        <v>0.53073245519571055</v>
      </c>
      <c r="O16" s="141">
        <f>'Execução Orçamentária'!T29</f>
        <v>161074.43</v>
      </c>
      <c r="P16" s="374">
        <f t="shared" si="3"/>
        <v>0.45647219356813312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1602231.4300000002</v>
      </c>
      <c r="I17" s="147">
        <f t="shared" si="4"/>
        <v>263183.56999999983</v>
      </c>
      <c r="J17" s="374">
        <f t="shared" si="0"/>
        <v>0.85891419871717567</v>
      </c>
      <c r="K17" s="141">
        <f>'Execução Orçamentária'!R9</f>
        <v>1602231.4300000002</v>
      </c>
      <c r="L17" s="374">
        <f t="shared" si="1"/>
        <v>0.85891419871717567</v>
      </c>
      <c r="M17" s="141">
        <f>'Execução Orçamentária'!S9</f>
        <v>1602231.4300000002</v>
      </c>
      <c r="N17" s="374">
        <f t="shared" si="2"/>
        <v>0.85891419871717567</v>
      </c>
      <c r="O17" s="141">
        <f>'Execução Orçamentária'!T9</f>
        <v>1602231.4300000002</v>
      </c>
      <c r="P17" s="374">
        <f t="shared" si="3"/>
        <v>0.85891419871717567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249521470.48999998</v>
      </c>
      <c r="I19" s="385">
        <f t="shared" si="5"/>
        <v>142760839.50999999</v>
      </c>
      <c r="J19" s="386">
        <f t="shared" si="0"/>
        <v>0.63607627499185471</v>
      </c>
      <c r="K19" s="385">
        <f>SUM(K11:K18)</f>
        <v>244800824.86000001</v>
      </c>
      <c r="L19" s="386">
        <f t="shared" si="1"/>
        <v>0.6240424781326489</v>
      </c>
      <c r="M19" s="385">
        <f>SUM(M11:M18)</f>
        <v>218420735.89999998</v>
      </c>
      <c r="N19" s="386">
        <f t="shared" si="2"/>
        <v>0.55679476318980581</v>
      </c>
      <c r="O19" s="385">
        <f>SUM(O11:O18)</f>
        <v>197828827.23000002</v>
      </c>
      <c r="P19" s="386">
        <f t="shared" si="3"/>
        <v>0.50430218795744319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44773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6" t="s">
        <v>89</v>
      </c>
      <c r="N6" s="507"/>
      <c r="O6" s="507"/>
      <c r="P6" s="50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7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19" t="s">
        <v>126</v>
      </c>
      <c r="K7" s="521" t="s">
        <v>93</v>
      </c>
      <c r="L7" s="523" t="s">
        <v>127</v>
      </c>
      <c r="M7" s="523" t="s">
        <v>94</v>
      </c>
      <c r="N7" s="525" t="s">
        <v>186</v>
      </c>
      <c r="O7" s="523" t="s">
        <v>194</v>
      </c>
      <c r="P7" s="525" t="s">
        <v>105</v>
      </c>
      <c r="Q7" s="523" t="s">
        <v>95</v>
      </c>
      <c r="R7" s="525" t="s">
        <v>188</v>
      </c>
      <c r="S7" s="528" t="s">
        <v>187</v>
      </c>
      <c r="T7" s="525" t="s">
        <v>193</v>
      </c>
      <c r="U7" s="528" t="s">
        <v>190</v>
      </c>
      <c r="V7" s="525" t="s">
        <v>61</v>
      </c>
      <c r="W7" s="528" t="s">
        <v>192</v>
      </c>
      <c r="X7" s="530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18"/>
      <c r="C8" s="193"/>
      <c r="D8" s="194"/>
      <c r="E8" s="193"/>
      <c r="F8" s="195"/>
      <c r="G8" s="193"/>
      <c r="H8" s="196"/>
      <c r="I8" s="196"/>
      <c r="J8" s="520"/>
      <c r="K8" s="522"/>
      <c r="L8" s="524"/>
      <c r="M8" s="524"/>
      <c r="N8" s="526"/>
      <c r="O8" s="524"/>
      <c r="P8" s="526"/>
      <c r="Q8" s="524"/>
      <c r="R8" s="526"/>
      <c r="S8" s="529"/>
      <c r="T8" s="526"/>
      <c r="U8" s="529"/>
      <c r="V8" s="526"/>
      <c r="W8" s="529"/>
      <c r="X8" s="531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18"/>
      <c r="C9" s="193"/>
      <c r="D9" s="194"/>
      <c r="E9" s="193"/>
      <c r="F9" s="195"/>
      <c r="G9" s="193"/>
      <c r="H9" s="196"/>
      <c r="I9" s="196"/>
      <c r="J9" s="520"/>
      <c r="K9" s="522"/>
      <c r="L9" s="524"/>
      <c r="M9" s="524"/>
      <c r="N9" s="527"/>
      <c r="O9" s="524"/>
      <c r="P9" s="527"/>
      <c r="Q9" s="524"/>
      <c r="R9" s="527"/>
      <c r="S9" s="529"/>
      <c r="T9" s="527"/>
      <c r="U9" s="529"/>
      <c r="V9" s="527"/>
      <c r="W9" s="529"/>
      <c r="X9" s="531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18"/>
      <c r="C10" s="193"/>
      <c r="D10" s="194"/>
      <c r="E10" s="193"/>
      <c r="F10" s="195"/>
      <c r="G10" s="193"/>
      <c r="H10" s="196"/>
      <c r="I10" s="196"/>
      <c r="J10" s="520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2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Orçamentária'!J393</f>
        <v>1000000</v>
      </c>
      <c r="L17" s="92">
        <f>+'Execução Orçamentária'!K393</f>
        <v>-102651</v>
      </c>
      <c r="M17" s="92">
        <f>+'Execução Orçamentária'!L393</f>
        <v>897349</v>
      </c>
      <c r="N17" s="92">
        <f>+'Execução Orçamentária'!M393</f>
        <v>0</v>
      </c>
      <c r="O17" s="92" t="e">
        <f>+'Execução Orçamentária'!N402+'Execução Orçamentária'!#REF!+'Execução Orçamentária'!N409</f>
        <v>#REF!</v>
      </c>
      <c r="P17" s="92">
        <f>+'Execução Orçamentária'!O393</f>
        <v>682860.29</v>
      </c>
      <c r="Q17" s="92" t="e">
        <f t="shared" ref="Q17:Q22" si="3">+O17-P17</f>
        <v>#REF!</v>
      </c>
      <c r="R17" s="92">
        <f>'Execução Orçamentária'!R393</f>
        <v>610247.02999999991</v>
      </c>
      <c r="S17" s="243" t="e">
        <f t="shared" si="2"/>
        <v>#REF!</v>
      </c>
      <c r="T17" s="92">
        <f>'Execução Orçamentária'!S393</f>
        <v>393287.85000000003</v>
      </c>
      <c r="U17" s="93" t="e">
        <f t="shared" si="0"/>
        <v>#REF!</v>
      </c>
      <c r="V17" s="92">
        <f>'Execução Orçamentária'!T393</f>
        <v>329804.95999999996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2022-08-01T13:45:03Z</dcterms:modified>
</cp:coreProperties>
</file>