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1128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7" i="15" l="1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R381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48" i="3" s="1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221" i="3" s="1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41" i="3" s="1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1" i="3"/>
  <c r="T350" i="3" s="1"/>
  <c r="T389" i="3"/>
  <c r="R26" i="3"/>
  <c r="S81" i="3"/>
  <c r="S72" i="3" s="1"/>
  <c r="T156" i="3"/>
  <c r="S289" i="3"/>
  <c r="S284" i="3" s="1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51" i="3" s="1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T142" i="3" s="1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T260" i="3" s="1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S152" i="3" s="1"/>
  <c r="T16" i="3"/>
  <c r="S202" i="3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27" i="3"/>
  <c r="O409" i="3"/>
  <c r="O388" i="3"/>
  <c r="O364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T70" i="3"/>
  <c r="R171" i="3"/>
  <c r="R72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J95" i="3" l="1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K16" i="3" s="1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J86" i="3" l="1"/>
  <c r="H83" i="3"/>
  <c r="P86" i="3"/>
  <c r="M86" i="3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U131" i="3" l="1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90" i="15" s="1"/>
  <c r="P17" i="28"/>
  <c r="Q17" i="28" s="1"/>
  <c r="O417" i="3"/>
  <c r="R17" i="28"/>
  <c r="V17" i="28"/>
  <c r="W17" i="28" s="1"/>
  <c r="T417" i="3"/>
  <c r="K90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7" i="3"/>
  <c r="P417" i="3"/>
  <c r="N100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7" i="3"/>
  <c r="K393" i="3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7" i="3"/>
  <c r="D19" i="19"/>
  <c r="L17" i="28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D26" i="26" l="1"/>
  <c r="I19" i="19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<sst xmlns="http://schemas.openxmlformats.org/spreadsheetml/2006/main" count="1230" uniqueCount="360">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</sst>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80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80" fontId="29" fillId="7" borderId="54" xfId="0" applyNumberFormat="1" applyFont="1" applyFill="1" applyBorder="1" applyAlignment="1">
      <alignment horizontal="right" vertical="center"/>
    </xf>
    <xf numFmtId="180" fontId="37" fillId="6" borderId="53" xfId="0" applyNumberFormat="1" applyFont="1" applyFill="1" applyBorder="1" applyAlignment="1">
      <alignment horizontal="right" vertical="top"/>
    </xf>
    <xf numFmtId="180" fontId="29" fillId="4" borderId="54" xfId="0" applyNumberFormat="1" applyFont="1" applyFill="1" applyBorder="1" applyAlignment="1">
      <alignment horizontal="right" wrapText="1"/>
    </xf>
    <xf numFmtId="180" fontId="29" fillId="7" borderId="54" xfId="0" applyNumberFormat="1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61" fillId="6" borderId="53" xfId="0" applyFont="1" applyFill="1" applyBorder="1" applyAlignment="1">
      <alignment horizontal="left" vertical="top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44830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9" t="s">
        <v>93</v>
      </c>
      <c r="L7" s="536" t="s">
        <v>125</v>
      </c>
      <c r="M7" s="551" t="s">
        <v>94</v>
      </c>
      <c r="N7" s="553" t="s">
        <v>186</v>
      </c>
      <c r="O7" s="551" t="s">
        <v>116</v>
      </c>
      <c r="P7" s="553" t="s">
        <v>105</v>
      </c>
      <c r="Q7" s="551" t="s">
        <v>95</v>
      </c>
      <c r="R7" s="553" t="s">
        <v>188</v>
      </c>
      <c r="S7" s="556" t="s">
        <v>187</v>
      </c>
      <c r="T7" s="553" t="s">
        <v>189</v>
      </c>
      <c r="U7" s="553" t="s">
        <v>190</v>
      </c>
      <c r="V7" s="553" t="s">
        <v>191</v>
      </c>
      <c r="W7" s="553" t="s">
        <v>192</v>
      </c>
      <c r="X7" s="55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7"/>
      <c r="C8" s="208"/>
      <c r="D8" s="209"/>
      <c r="E8" s="208"/>
      <c r="F8" s="210"/>
      <c r="G8" s="208"/>
      <c r="H8" s="211"/>
      <c r="I8" s="211"/>
      <c r="J8" s="212"/>
      <c r="K8" s="550"/>
      <c r="L8" s="537"/>
      <c r="M8" s="552"/>
      <c r="N8" s="554"/>
      <c r="O8" s="552"/>
      <c r="P8" s="554"/>
      <c r="Q8" s="552"/>
      <c r="R8" s="554"/>
      <c r="S8" s="557"/>
      <c r="T8" s="554"/>
      <c r="U8" s="554"/>
      <c r="V8" s="554"/>
      <c r="W8" s="554"/>
      <c r="X8" s="55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7"/>
      <c r="C9" s="208"/>
      <c r="D9" s="209"/>
      <c r="E9" s="208"/>
      <c r="F9" s="210"/>
      <c r="G9" s="208"/>
      <c r="H9" s="211"/>
      <c r="I9" s="211"/>
      <c r="J9" s="212"/>
      <c r="K9" s="550"/>
      <c r="L9" s="537"/>
      <c r="M9" s="552"/>
      <c r="N9" s="555"/>
      <c r="O9" s="552"/>
      <c r="P9" s="555"/>
      <c r="Q9" s="552"/>
      <c r="R9" s="555"/>
      <c r="S9" s="557"/>
      <c r="T9" s="555"/>
      <c r="U9" s="555"/>
      <c r="V9" s="555"/>
      <c r="W9" s="555"/>
      <c r="X9" s="55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S70" sqref="S70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6" t="s">
        <v>48</v>
      </c>
      <c r="B3" s="496" t="s">
        <v>62</v>
      </c>
      <c r="C3" s="496" t="s">
        <v>346</v>
      </c>
      <c r="D3" s="496"/>
      <c r="E3" s="496" t="s">
        <v>347</v>
      </c>
      <c r="F3" s="493" t="s">
        <v>86</v>
      </c>
      <c r="G3" s="493" t="s">
        <v>348</v>
      </c>
      <c r="H3" s="493" t="s">
        <v>87</v>
      </c>
      <c r="I3" s="493" t="s">
        <v>349</v>
      </c>
      <c r="J3" s="493" t="s">
        <v>2</v>
      </c>
      <c r="K3" s="493" t="s">
        <v>350</v>
      </c>
      <c r="L3" s="493" t="s">
        <v>88</v>
      </c>
      <c r="M3" s="493" t="s">
        <v>4</v>
      </c>
      <c r="N3" s="493" t="s">
        <v>5</v>
      </c>
      <c r="O3" s="493" t="s">
        <v>12</v>
      </c>
      <c r="P3" s="493" t="s">
        <v>3</v>
      </c>
    </row>
    <row r="4" spans="1:17" s="445" customFormat="1" ht="32.1" customHeight="1" x14ac:dyDescent="0.2">
      <c r="A4" s="497"/>
      <c r="B4" s="496"/>
      <c r="C4" s="496"/>
      <c r="D4" s="496"/>
      <c r="E4" s="496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4">
        <v>500000</v>
      </c>
      <c r="G5" s="484">
        <v>0</v>
      </c>
      <c r="H5" s="484">
        <v>500000</v>
      </c>
      <c r="I5" s="484">
        <v>1453624</v>
      </c>
      <c r="J5" s="484">
        <v>1953624</v>
      </c>
      <c r="K5" s="484">
        <v>0</v>
      </c>
      <c r="L5" s="484">
        <v>1953624</v>
      </c>
      <c r="M5" s="484">
        <v>1.18999999994412</v>
      </c>
      <c r="N5" s="484">
        <v>1.19</v>
      </c>
      <c r="O5" s="484"/>
      <c r="P5" s="447">
        <f>+L5-O5</f>
        <v>1953624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5">
        <v>50000</v>
      </c>
      <c r="G6" s="485">
        <v>0</v>
      </c>
      <c r="H6" s="485">
        <v>50000</v>
      </c>
      <c r="I6" s="485">
        <v>294098</v>
      </c>
      <c r="J6" s="485">
        <v>344098</v>
      </c>
      <c r="K6" s="485">
        <v>0</v>
      </c>
      <c r="L6" s="485">
        <v>344098</v>
      </c>
      <c r="M6" s="485">
        <v>377.98999999999103</v>
      </c>
      <c r="N6" s="485">
        <v>377.99</v>
      </c>
      <c r="O6" s="485"/>
      <c r="P6" s="448">
        <f t="shared" ref="P6:P96" si="1">+L6-O6</f>
        <v>344098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4">
        <v>300000</v>
      </c>
      <c r="G7" s="484">
        <v>0</v>
      </c>
      <c r="H7" s="484">
        <v>300000</v>
      </c>
      <c r="I7" s="484">
        <v>0</v>
      </c>
      <c r="J7" s="484">
        <v>300000</v>
      </c>
      <c r="K7" s="484">
        <v>0</v>
      </c>
      <c r="L7" s="484">
        <v>300000</v>
      </c>
      <c r="M7" s="484">
        <v>132655.63</v>
      </c>
      <c r="N7" s="484">
        <v>132655.63</v>
      </c>
      <c r="O7" s="48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5">
        <v>10000</v>
      </c>
      <c r="G8" s="485">
        <v>0</v>
      </c>
      <c r="H8" s="485">
        <v>10000</v>
      </c>
      <c r="I8" s="485">
        <v>-3280</v>
      </c>
      <c r="J8" s="485">
        <v>6720</v>
      </c>
      <c r="K8" s="485">
        <v>0</v>
      </c>
      <c r="L8" s="485">
        <v>6720</v>
      </c>
      <c r="M8" s="485">
        <v>5520</v>
      </c>
      <c r="N8" s="485">
        <v>5520</v>
      </c>
      <c r="O8" s="485">
        <v>0</v>
      </c>
      <c r="P8" s="448">
        <f t="shared" si="1"/>
        <v>6720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4">
        <v>1000000</v>
      </c>
      <c r="G9" s="484">
        <v>0</v>
      </c>
      <c r="H9" s="484">
        <v>1000000</v>
      </c>
      <c r="I9" s="484">
        <v>-153624</v>
      </c>
      <c r="J9" s="484">
        <v>846376</v>
      </c>
      <c r="K9" s="484">
        <v>0</v>
      </c>
      <c r="L9" s="484">
        <v>846376</v>
      </c>
      <c r="M9" s="484">
        <v>846376</v>
      </c>
      <c r="N9" s="484">
        <v>0</v>
      </c>
      <c r="O9" s="484">
        <v>846376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5">
        <v>50000</v>
      </c>
      <c r="G10" s="485">
        <v>0</v>
      </c>
      <c r="H10" s="485">
        <v>50000</v>
      </c>
      <c r="I10" s="485">
        <v>-50000</v>
      </c>
      <c r="J10" s="485">
        <v>0</v>
      </c>
      <c r="K10" s="485">
        <v>0</v>
      </c>
      <c r="L10" s="485">
        <v>0</v>
      </c>
      <c r="M10" s="485">
        <v>0</v>
      </c>
      <c r="N10" s="485">
        <v>0</v>
      </c>
      <c r="O10" s="485">
        <v>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4">
        <v>60000</v>
      </c>
      <c r="G11" s="484">
        <v>0</v>
      </c>
      <c r="H11" s="484">
        <v>60000</v>
      </c>
      <c r="I11" s="484">
        <v>0</v>
      </c>
      <c r="J11" s="484">
        <v>60000</v>
      </c>
      <c r="K11" s="484">
        <v>0</v>
      </c>
      <c r="L11" s="484">
        <v>60000</v>
      </c>
      <c r="M11" s="484">
        <v>60000</v>
      </c>
      <c r="N11" s="484">
        <v>60000</v>
      </c>
      <c r="O11" s="48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5">
        <v>30000</v>
      </c>
      <c r="G12" s="485">
        <v>0</v>
      </c>
      <c r="H12" s="485">
        <v>30000</v>
      </c>
      <c r="I12" s="485">
        <v>0</v>
      </c>
      <c r="J12" s="485">
        <v>30000</v>
      </c>
      <c r="K12" s="485">
        <v>0</v>
      </c>
      <c r="L12" s="485">
        <v>30000</v>
      </c>
      <c r="M12" s="485">
        <v>2873.19</v>
      </c>
      <c r="N12" s="485">
        <v>2873.19</v>
      </c>
      <c r="O12" s="48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4">
        <v>25000</v>
      </c>
      <c r="G13" s="484">
        <v>0</v>
      </c>
      <c r="H13" s="484">
        <v>25000</v>
      </c>
      <c r="I13" s="484">
        <v>0</v>
      </c>
      <c r="J13" s="484">
        <v>25000</v>
      </c>
      <c r="K13" s="484">
        <v>0</v>
      </c>
      <c r="L13" s="484">
        <v>25000</v>
      </c>
      <c r="M13" s="484">
        <v>25000</v>
      </c>
      <c r="N13" s="484">
        <v>25000</v>
      </c>
      <c r="O13" s="48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5">
        <v>50000</v>
      </c>
      <c r="G14" s="485">
        <v>0</v>
      </c>
      <c r="H14" s="485">
        <v>50000</v>
      </c>
      <c r="I14" s="485">
        <v>0</v>
      </c>
      <c r="J14" s="485">
        <v>50000</v>
      </c>
      <c r="K14" s="485">
        <v>0</v>
      </c>
      <c r="L14" s="485">
        <v>50000</v>
      </c>
      <c r="M14" s="485">
        <v>24442.13</v>
      </c>
      <c r="N14" s="485">
        <v>24442.13</v>
      </c>
      <c r="O14" s="48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4">
        <v>70000</v>
      </c>
      <c r="G15" s="484">
        <v>0</v>
      </c>
      <c r="H15" s="484">
        <v>70000</v>
      </c>
      <c r="I15" s="484">
        <v>0</v>
      </c>
      <c r="J15" s="484">
        <v>70000</v>
      </c>
      <c r="K15" s="484">
        <v>0</v>
      </c>
      <c r="L15" s="484">
        <v>70000</v>
      </c>
      <c r="M15" s="484">
        <v>119.919999999998</v>
      </c>
      <c r="N15" s="484">
        <v>119.92</v>
      </c>
      <c r="O15" s="48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5">
        <v>322868</v>
      </c>
      <c r="G16" s="485">
        <v>0</v>
      </c>
      <c r="H16" s="485">
        <v>322868</v>
      </c>
      <c r="I16" s="485">
        <v>30000</v>
      </c>
      <c r="J16" s="485">
        <v>352868</v>
      </c>
      <c r="K16" s="485">
        <v>0</v>
      </c>
      <c r="L16" s="485">
        <v>352868</v>
      </c>
      <c r="M16" s="485">
        <v>130898.91</v>
      </c>
      <c r="N16" s="485">
        <v>130898.91</v>
      </c>
      <c r="O16" s="485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4">
        <v>343663503</v>
      </c>
      <c r="G17" s="484">
        <v>-3436635</v>
      </c>
      <c r="H17" s="484">
        <v>340226868</v>
      </c>
      <c r="I17" s="484">
        <v>3436635</v>
      </c>
      <c r="J17" s="484">
        <v>343663503</v>
      </c>
      <c r="K17" s="484">
        <v>0</v>
      </c>
      <c r="L17" s="484">
        <v>343663503</v>
      </c>
      <c r="M17" s="484">
        <v>86267571.060000002</v>
      </c>
      <c r="N17" s="484">
        <v>86267571.060000002</v>
      </c>
      <c r="O17" s="48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5">
        <v>25591140</v>
      </c>
      <c r="G18" s="485">
        <v>0</v>
      </c>
      <c r="H18" s="485">
        <v>25591140</v>
      </c>
      <c r="I18" s="485">
        <v>-25591140</v>
      </c>
      <c r="J18" s="485">
        <v>0</v>
      </c>
      <c r="K18" s="485">
        <v>0</v>
      </c>
      <c r="L18" s="485">
        <v>0</v>
      </c>
      <c r="M18" s="485">
        <v>-1366426.2</v>
      </c>
      <c r="N18" s="485">
        <v>0</v>
      </c>
      <c r="O18" s="485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75">
        <v>174224</v>
      </c>
      <c r="C19" s="476">
        <v>3</v>
      </c>
      <c r="D19" s="477" t="s">
        <v>8</v>
      </c>
      <c r="E19" s="476">
        <v>188</v>
      </c>
      <c r="F19" s="484"/>
      <c r="G19" s="484">
        <v>0</v>
      </c>
      <c r="H19" s="484">
        <v>0</v>
      </c>
      <c r="I19" s="484">
        <v>25591140</v>
      </c>
      <c r="J19" s="484">
        <v>25591140</v>
      </c>
      <c r="K19" s="484">
        <v>0</v>
      </c>
      <c r="L19" s="484">
        <v>25591140</v>
      </c>
      <c r="M19" s="484">
        <v>3972777.5</v>
      </c>
      <c r="N19" s="484">
        <v>3972777.5</v>
      </c>
      <c r="O19" s="484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79">
        <v>174225</v>
      </c>
      <c r="C20" s="480">
        <v>3</v>
      </c>
      <c r="D20" s="481" t="s">
        <v>8</v>
      </c>
      <c r="E20" s="480">
        <v>151</v>
      </c>
      <c r="F20" s="485">
        <v>997967</v>
      </c>
      <c r="G20" s="485">
        <v>0</v>
      </c>
      <c r="H20" s="485">
        <v>997967</v>
      </c>
      <c r="I20" s="485">
        <v>-997967</v>
      </c>
      <c r="J20" s="485">
        <v>0</v>
      </c>
      <c r="K20" s="485">
        <v>0</v>
      </c>
      <c r="L20" s="485">
        <v>0</v>
      </c>
      <c r="M20" s="485">
        <v>-48670</v>
      </c>
      <c r="N20" s="485">
        <v>0</v>
      </c>
      <c r="O20" s="485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75">
        <v>174225</v>
      </c>
      <c r="C21" s="476">
        <v>3</v>
      </c>
      <c r="D21" s="477" t="s">
        <v>8</v>
      </c>
      <c r="E21" s="476">
        <v>188</v>
      </c>
      <c r="F21" s="484"/>
      <c r="G21" s="484">
        <v>0</v>
      </c>
      <c r="H21" s="484">
        <v>0</v>
      </c>
      <c r="I21" s="484">
        <v>997967</v>
      </c>
      <c r="J21" s="484">
        <v>997967</v>
      </c>
      <c r="K21" s="484">
        <v>0</v>
      </c>
      <c r="L21" s="484">
        <v>997967</v>
      </c>
      <c r="M21" s="484">
        <v>424898.92</v>
      </c>
      <c r="N21" s="484">
        <v>424898.92</v>
      </c>
      <c r="O21" s="484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79">
        <v>174228</v>
      </c>
      <c r="C22" s="480">
        <v>3</v>
      </c>
      <c r="D22" s="481" t="s">
        <v>8</v>
      </c>
      <c r="E22" s="480">
        <v>142</v>
      </c>
      <c r="F22" s="485">
        <v>400000</v>
      </c>
      <c r="G22" s="485">
        <v>0</v>
      </c>
      <c r="H22" s="485">
        <v>400000</v>
      </c>
      <c r="I22" s="485">
        <v>-400000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75">
        <v>174229</v>
      </c>
      <c r="C23" s="476">
        <v>3</v>
      </c>
      <c r="D23" s="477" t="s">
        <v>8</v>
      </c>
      <c r="E23" s="476">
        <v>142</v>
      </c>
      <c r="F23" s="484">
        <v>400000</v>
      </c>
      <c r="G23" s="484">
        <v>0</v>
      </c>
      <c r="H23" s="484">
        <v>400000</v>
      </c>
      <c r="I23" s="484">
        <v>-400000</v>
      </c>
      <c r="J23" s="484">
        <v>0</v>
      </c>
      <c r="K23" s="484">
        <v>0</v>
      </c>
      <c r="L23" s="484">
        <v>0</v>
      </c>
      <c r="M23" s="484">
        <v>0</v>
      </c>
      <c r="N23" s="484">
        <v>0</v>
      </c>
      <c r="O23" s="484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79">
        <v>174230</v>
      </c>
      <c r="C24" s="480">
        <v>3</v>
      </c>
      <c r="D24" s="481" t="s">
        <v>8</v>
      </c>
      <c r="E24" s="480">
        <v>142</v>
      </c>
      <c r="F24" s="485">
        <v>300000</v>
      </c>
      <c r="G24" s="485">
        <v>0</v>
      </c>
      <c r="H24" s="485">
        <v>300000</v>
      </c>
      <c r="I24" s="485">
        <v>100000</v>
      </c>
      <c r="J24" s="485">
        <v>400000</v>
      </c>
      <c r="K24" s="485">
        <v>0</v>
      </c>
      <c r="L24" s="485">
        <v>400000</v>
      </c>
      <c r="M24" s="485">
        <v>126260.36</v>
      </c>
      <c r="N24" s="485">
        <v>126260.36</v>
      </c>
      <c r="O24" s="485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75">
        <v>174231</v>
      </c>
      <c r="C25" s="476">
        <v>3</v>
      </c>
      <c r="D25" s="477" t="s">
        <v>8</v>
      </c>
      <c r="E25" s="476">
        <v>142</v>
      </c>
      <c r="F25" s="484">
        <v>400000</v>
      </c>
      <c r="G25" s="484">
        <v>0</v>
      </c>
      <c r="H25" s="484">
        <v>400000</v>
      </c>
      <c r="I25" s="484">
        <v>100000</v>
      </c>
      <c r="J25" s="484">
        <v>500000</v>
      </c>
      <c r="K25" s="484">
        <v>0</v>
      </c>
      <c r="L25" s="484">
        <v>500000</v>
      </c>
      <c r="M25" s="484">
        <v>30125.39</v>
      </c>
      <c r="N25" s="484">
        <v>30125.39</v>
      </c>
      <c r="O25" s="484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79">
        <v>174231</v>
      </c>
      <c r="C26" s="480">
        <v>4</v>
      </c>
      <c r="D26" s="481" t="s">
        <v>7</v>
      </c>
      <c r="E26" s="480">
        <v>142</v>
      </c>
      <c r="F26" s="485">
        <v>200000</v>
      </c>
      <c r="G26" s="485">
        <v>0</v>
      </c>
      <c r="H26" s="485">
        <v>200000</v>
      </c>
      <c r="I26" s="485">
        <v>81211</v>
      </c>
      <c r="J26" s="485">
        <v>281211</v>
      </c>
      <c r="K26" s="485">
        <v>0</v>
      </c>
      <c r="L26" s="485">
        <v>281211</v>
      </c>
      <c r="M26" s="485">
        <v>0.94000000000232797</v>
      </c>
      <c r="N26" s="485">
        <v>0.94</v>
      </c>
      <c r="O26" s="485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75">
        <v>174232</v>
      </c>
      <c r="C27" s="476">
        <v>3</v>
      </c>
      <c r="D27" s="477" t="s">
        <v>8</v>
      </c>
      <c r="E27" s="476">
        <v>100</v>
      </c>
      <c r="F27" s="484"/>
      <c r="G27" s="484">
        <v>4950000</v>
      </c>
      <c r="H27" s="484">
        <v>4950000</v>
      </c>
      <c r="I27" s="484">
        <v>0</v>
      </c>
      <c r="J27" s="484">
        <v>4950000</v>
      </c>
      <c r="K27" s="484">
        <v>0</v>
      </c>
      <c r="L27" s="484">
        <v>4950000</v>
      </c>
      <c r="M27" s="484">
        <v>1000000</v>
      </c>
      <c r="N27" s="484">
        <v>1000000</v>
      </c>
      <c r="O27" s="484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79">
        <v>174232</v>
      </c>
      <c r="C28" s="480">
        <v>3</v>
      </c>
      <c r="D28" s="481" t="s">
        <v>8</v>
      </c>
      <c r="E28" s="480">
        <v>142</v>
      </c>
      <c r="F28" s="485">
        <v>33000000</v>
      </c>
      <c r="G28" s="485">
        <v>-4950000</v>
      </c>
      <c r="H28" s="485">
        <v>28050000</v>
      </c>
      <c r="I28" s="485">
        <v>1200000</v>
      </c>
      <c r="J28" s="485">
        <v>29250000</v>
      </c>
      <c r="K28" s="485">
        <v>0</v>
      </c>
      <c r="L28" s="485">
        <v>29250000</v>
      </c>
      <c r="M28" s="485">
        <v>775207.23</v>
      </c>
      <c r="N28" s="485">
        <v>442285.28</v>
      </c>
      <c r="O28" s="485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75">
        <v>174232</v>
      </c>
      <c r="C29" s="476">
        <v>4</v>
      </c>
      <c r="D29" s="477" t="s">
        <v>7</v>
      </c>
      <c r="E29" s="476">
        <v>142</v>
      </c>
      <c r="F29" s="484">
        <v>2000000</v>
      </c>
      <c r="G29" s="484">
        <v>0</v>
      </c>
      <c r="H29" s="484">
        <v>2000000</v>
      </c>
      <c r="I29" s="484">
        <v>-1200000</v>
      </c>
      <c r="J29" s="484">
        <v>800000</v>
      </c>
      <c r="K29" s="484">
        <v>0</v>
      </c>
      <c r="L29" s="484">
        <v>800000</v>
      </c>
      <c r="M29" s="484">
        <v>7807.2299999999796</v>
      </c>
      <c r="N29" s="484">
        <v>7807.23</v>
      </c>
      <c r="O29" s="484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79">
        <v>174233</v>
      </c>
      <c r="C30" s="480">
        <v>3</v>
      </c>
      <c r="D30" s="481" t="s">
        <v>8</v>
      </c>
      <c r="E30" s="480">
        <v>142</v>
      </c>
      <c r="F30" s="485">
        <v>200000</v>
      </c>
      <c r="G30" s="485">
        <v>0</v>
      </c>
      <c r="H30" s="485">
        <v>200000</v>
      </c>
      <c r="I30" s="485">
        <v>0</v>
      </c>
      <c r="J30" s="485">
        <v>200000</v>
      </c>
      <c r="K30" s="485">
        <v>0</v>
      </c>
      <c r="L30" s="485">
        <v>200000</v>
      </c>
      <c r="M30" s="485">
        <v>104.5</v>
      </c>
      <c r="N30" s="485">
        <v>104.5</v>
      </c>
      <c r="O30" s="485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75">
        <v>174233</v>
      </c>
      <c r="C31" s="476">
        <v>4</v>
      </c>
      <c r="D31" s="477" t="s">
        <v>7</v>
      </c>
      <c r="E31" s="476">
        <v>142</v>
      </c>
      <c r="F31" s="484">
        <v>150000</v>
      </c>
      <c r="G31" s="484">
        <v>0</v>
      </c>
      <c r="H31" s="484">
        <v>150000</v>
      </c>
      <c r="I31" s="484">
        <v>0</v>
      </c>
      <c r="J31" s="484">
        <v>150000</v>
      </c>
      <c r="K31" s="484">
        <v>0</v>
      </c>
      <c r="L31" s="484">
        <v>150000</v>
      </c>
      <c r="M31" s="484">
        <v>1689.84</v>
      </c>
      <c r="N31" s="484">
        <v>1689.84</v>
      </c>
      <c r="O31" s="484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79">
        <v>174234</v>
      </c>
      <c r="C32" s="480">
        <v>3</v>
      </c>
      <c r="D32" s="481" t="s">
        <v>8</v>
      </c>
      <c r="E32" s="480">
        <v>142</v>
      </c>
      <c r="F32" s="485">
        <v>1000000</v>
      </c>
      <c r="G32" s="485">
        <v>0</v>
      </c>
      <c r="H32" s="485">
        <v>1000000</v>
      </c>
      <c r="I32" s="485">
        <v>0</v>
      </c>
      <c r="J32" s="485">
        <v>1000000</v>
      </c>
      <c r="K32" s="485">
        <v>0</v>
      </c>
      <c r="L32" s="485">
        <v>1000000</v>
      </c>
      <c r="M32" s="485">
        <v>0</v>
      </c>
      <c r="N32" s="485">
        <v>0</v>
      </c>
      <c r="O32" s="485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75">
        <v>174234</v>
      </c>
      <c r="C33" s="476">
        <v>4</v>
      </c>
      <c r="D33" s="477" t="s">
        <v>7</v>
      </c>
      <c r="E33" s="476">
        <v>142</v>
      </c>
      <c r="F33" s="484">
        <v>300000</v>
      </c>
      <c r="G33" s="484">
        <v>0</v>
      </c>
      <c r="H33" s="484">
        <v>300000</v>
      </c>
      <c r="I33" s="484">
        <v>700000</v>
      </c>
      <c r="J33" s="484">
        <v>1000000</v>
      </c>
      <c r="K33" s="484">
        <v>0</v>
      </c>
      <c r="L33" s="484">
        <v>1000000</v>
      </c>
      <c r="M33" s="484">
        <v>16685.38</v>
      </c>
      <c r="N33" s="484">
        <v>16685.38</v>
      </c>
      <c r="O33" s="484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79">
        <v>174235</v>
      </c>
      <c r="C34" s="480">
        <v>3</v>
      </c>
      <c r="D34" s="481" t="s">
        <v>8</v>
      </c>
      <c r="E34" s="480">
        <v>142</v>
      </c>
      <c r="F34" s="485">
        <v>200000</v>
      </c>
      <c r="G34" s="485">
        <v>0</v>
      </c>
      <c r="H34" s="485">
        <v>200000</v>
      </c>
      <c r="I34" s="485">
        <v>0</v>
      </c>
      <c r="J34" s="485">
        <v>200000</v>
      </c>
      <c r="K34" s="485">
        <v>0</v>
      </c>
      <c r="L34" s="485">
        <v>200000</v>
      </c>
      <c r="M34" s="485">
        <v>37138.65</v>
      </c>
      <c r="N34" s="485">
        <v>37138.65</v>
      </c>
      <c r="O34" s="485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75">
        <v>174236</v>
      </c>
      <c r="C35" s="476">
        <v>3</v>
      </c>
      <c r="D35" s="477" t="s">
        <v>8</v>
      </c>
      <c r="E35" s="476">
        <v>142</v>
      </c>
      <c r="F35" s="484">
        <v>200000</v>
      </c>
      <c r="G35" s="484">
        <v>0</v>
      </c>
      <c r="H35" s="484">
        <v>200000</v>
      </c>
      <c r="I35" s="484">
        <v>-20000</v>
      </c>
      <c r="J35" s="484">
        <v>180000</v>
      </c>
      <c r="K35" s="484">
        <v>0</v>
      </c>
      <c r="L35" s="484">
        <v>180000</v>
      </c>
      <c r="M35" s="484">
        <v>28060.05</v>
      </c>
      <c r="N35" s="484">
        <v>28060.05</v>
      </c>
      <c r="O35" s="484">
        <v>0</v>
      </c>
      <c r="P35" s="449">
        <f>+L35-O35</f>
        <v>180000</v>
      </c>
    </row>
    <row r="36" spans="1:16" ht="17.100000000000001" customHeight="1" x14ac:dyDescent="0.2">
      <c r="A36" s="446" t="str">
        <f t="shared" si="0"/>
        <v>174236-4-142</v>
      </c>
      <c r="B36" s="479">
        <v>174236</v>
      </c>
      <c r="C36" s="480">
        <v>4</v>
      </c>
      <c r="D36" s="481" t="s">
        <v>7</v>
      </c>
      <c r="E36" s="480">
        <v>142</v>
      </c>
      <c r="F36" s="485">
        <v>25000</v>
      </c>
      <c r="G36" s="485">
        <v>0</v>
      </c>
      <c r="H36" s="485">
        <v>25000</v>
      </c>
      <c r="I36" s="485">
        <v>-23614</v>
      </c>
      <c r="J36" s="485">
        <v>1386</v>
      </c>
      <c r="K36" s="485">
        <v>0</v>
      </c>
      <c r="L36" s="485">
        <v>1386</v>
      </c>
      <c r="M36" s="485">
        <v>0</v>
      </c>
      <c r="N36" s="485">
        <v>0</v>
      </c>
      <c r="O36" s="485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75">
        <v>174237</v>
      </c>
      <c r="C37" s="476">
        <v>3</v>
      </c>
      <c r="D37" s="477" t="s">
        <v>8</v>
      </c>
      <c r="E37" s="476">
        <v>142</v>
      </c>
      <c r="F37" s="484">
        <v>1305000</v>
      </c>
      <c r="G37" s="484">
        <v>0</v>
      </c>
      <c r="H37" s="484">
        <v>1305000</v>
      </c>
      <c r="I37" s="484">
        <v>-170832</v>
      </c>
      <c r="J37" s="484">
        <v>1134168</v>
      </c>
      <c r="K37" s="484">
        <v>0</v>
      </c>
      <c r="L37" s="484">
        <v>1134168</v>
      </c>
      <c r="M37" s="484">
        <v>282996.75</v>
      </c>
      <c r="N37" s="484">
        <v>9296.75</v>
      </c>
      <c r="O37" s="484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79">
        <v>174237</v>
      </c>
      <c r="C38" s="480">
        <v>4</v>
      </c>
      <c r="D38" s="481" t="s">
        <v>7</v>
      </c>
      <c r="E38" s="480">
        <v>142</v>
      </c>
      <c r="F38" s="485">
        <v>145000</v>
      </c>
      <c r="G38" s="485">
        <v>0</v>
      </c>
      <c r="H38" s="485">
        <v>145000</v>
      </c>
      <c r="I38" s="485">
        <v>0</v>
      </c>
      <c r="J38" s="485">
        <v>145000</v>
      </c>
      <c r="K38" s="485">
        <v>0</v>
      </c>
      <c r="L38" s="485">
        <v>145000</v>
      </c>
      <c r="M38" s="485">
        <v>0</v>
      </c>
      <c r="N38" s="485">
        <v>0</v>
      </c>
      <c r="O38" s="485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475">
        <v>174238</v>
      </c>
      <c r="C39" s="476">
        <v>3</v>
      </c>
      <c r="D39" s="477" t="s">
        <v>8</v>
      </c>
      <c r="E39" s="476">
        <v>142</v>
      </c>
      <c r="F39" s="484">
        <v>200000</v>
      </c>
      <c r="G39" s="484">
        <v>0</v>
      </c>
      <c r="H39" s="484">
        <v>200000</v>
      </c>
      <c r="I39" s="484">
        <v>0</v>
      </c>
      <c r="J39" s="484">
        <v>200000</v>
      </c>
      <c r="K39" s="484">
        <v>0</v>
      </c>
      <c r="L39" s="484">
        <v>200000</v>
      </c>
      <c r="M39" s="484">
        <v>33720.269999999997</v>
      </c>
      <c r="N39" s="484">
        <v>33720.269999999997</v>
      </c>
      <c r="O39" s="484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79">
        <v>174239</v>
      </c>
      <c r="C40" s="480">
        <v>3</v>
      </c>
      <c r="D40" s="481" t="s">
        <v>8</v>
      </c>
      <c r="E40" s="480">
        <v>142</v>
      </c>
      <c r="F40" s="485">
        <v>5692518</v>
      </c>
      <c r="G40" s="485">
        <v>0</v>
      </c>
      <c r="H40" s="485">
        <v>5692518</v>
      </c>
      <c r="I40" s="485">
        <v>0</v>
      </c>
      <c r="J40" s="485">
        <v>5692518</v>
      </c>
      <c r="K40" s="485">
        <v>0</v>
      </c>
      <c r="L40" s="485">
        <v>5692518</v>
      </c>
      <c r="M40" s="485">
        <v>0</v>
      </c>
      <c r="N40" s="485">
        <v>0</v>
      </c>
      <c r="O40" s="485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75">
        <v>174239</v>
      </c>
      <c r="C41" s="476">
        <v>4</v>
      </c>
      <c r="D41" s="477" t="s">
        <v>7</v>
      </c>
      <c r="E41" s="476">
        <v>142</v>
      </c>
      <c r="F41" s="484">
        <v>1000000</v>
      </c>
      <c r="G41" s="484">
        <v>0</v>
      </c>
      <c r="H41" s="484">
        <v>1000000</v>
      </c>
      <c r="I41" s="484">
        <v>0</v>
      </c>
      <c r="J41" s="484">
        <v>1000000</v>
      </c>
      <c r="K41" s="484">
        <v>0</v>
      </c>
      <c r="L41" s="484">
        <v>1000000</v>
      </c>
      <c r="M41" s="484">
        <v>18551.45</v>
      </c>
      <c r="N41" s="484">
        <v>18551.45</v>
      </c>
      <c r="O41" s="484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79">
        <v>174239</v>
      </c>
      <c r="C42" s="480">
        <v>3</v>
      </c>
      <c r="D42" s="481" t="s">
        <v>8</v>
      </c>
      <c r="E42" s="480">
        <v>150</v>
      </c>
      <c r="F42" s="485">
        <v>1807482</v>
      </c>
      <c r="G42" s="485">
        <v>0</v>
      </c>
      <c r="H42" s="485">
        <v>1807482</v>
      </c>
      <c r="I42" s="485">
        <v>0</v>
      </c>
      <c r="J42" s="485">
        <v>1807482</v>
      </c>
      <c r="K42" s="485">
        <v>0</v>
      </c>
      <c r="L42" s="485">
        <v>1807482</v>
      </c>
      <c r="M42" s="485">
        <v>51416.04</v>
      </c>
      <c r="N42" s="485">
        <v>51416.04</v>
      </c>
      <c r="O42" s="485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75">
        <v>174240</v>
      </c>
      <c r="C43" s="476">
        <v>3</v>
      </c>
      <c r="D43" s="477" t="s">
        <v>8</v>
      </c>
      <c r="E43" s="476">
        <v>142</v>
      </c>
      <c r="F43" s="484">
        <v>1408632</v>
      </c>
      <c r="G43" s="484">
        <v>0</v>
      </c>
      <c r="H43" s="484">
        <v>1408632</v>
      </c>
      <c r="I43" s="484">
        <v>-976723</v>
      </c>
      <c r="J43" s="484">
        <v>431909</v>
      </c>
      <c r="K43" s="484">
        <v>0</v>
      </c>
      <c r="L43" s="484">
        <v>431909</v>
      </c>
      <c r="M43" s="484">
        <v>47591.93</v>
      </c>
      <c r="N43" s="484">
        <v>47591.93</v>
      </c>
      <c r="O43" s="484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79">
        <v>174240</v>
      </c>
      <c r="C44" s="480">
        <v>4</v>
      </c>
      <c r="D44" s="481" t="s">
        <v>7</v>
      </c>
      <c r="E44" s="480">
        <v>142</v>
      </c>
      <c r="F44" s="485">
        <v>91368</v>
      </c>
      <c r="G44" s="485">
        <v>0</v>
      </c>
      <c r="H44" s="485">
        <v>91368</v>
      </c>
      <c r="I44" s="485">
        <v>800000</v>
      </c>
      <c r="J44" s="485">
        <v>891368</v>
      </c>
      <c r="K44" s="485">
        <v>0</v>
      </c>
      <c r="L44" s="485">
        <v>891368</v>
      </c>
      <c r="M44" s="485">
        <v>497</v>
      </c>
      <c r="N44" s="485">
        <v>497</v>
      </c>
      <c r="O44" s="485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75">
        <v>174241</v>
      </c>
      <c r="C45" s="476">
        <v>3</v>
      </c>
      <c r="D45" s="477" t="s">
        <v>8</v>
      </c>
      <c r="E45" s="476">
        <v>142</v>
      </c>
      <c r="F45" s="484">
        <v>1999999</v>
      </c>
      <c r="G45" s="484">
        <v>0</v>
      </c>
      <c r="H45" s="484">
        <v>1999999</v>
      </c>
      <c r="I45" s="484">
        <v>300253</v>
      </c>
      <c r="J45" s="484">
        <v>2300252</v>
      </c>
      <c r="K45" s="484">
        <v>0</v>
      </c>
      <c r="L45" s="484">
        <v>2300252</v>
      </c>
      <c r="M45" s="484">
        <v>13068.1800000002</v>
      </c>
      <c r="N45" s="484">
        <v>13068.18</v>
      </c>
      <c r="O45" s="484"/>
      <c r="P45" s="449">
        <f>+L45-O45</f>
        <v>2300252</v>
      </c>
    </row>
    <row r="46" spans="1:16" ht="17.100000000000001" customHeight="1" x14ac:dyDescent="0.2">
      <c r="A46" s="446" t="str">
        <f t="shared" si="2"/>
        <v>174241-4-142</v>
      </c>
      <c r="B46" s="479">
        <v>174241</v>
      </c>
      <c r="C46" s="480">
        <v>4</v>
      </c>
      <c r="D46" s="481" t="s">
        <v>7</v>
      </c>
      <c r="E46" s="480">
        <v>142</v>
      </c>
      <c r="F46" s="485">
        <v>1000000</v>
      </c>
      <c r="G46" s="485">
        <v>0</v>
      </c>
      <c r="H46" s="485">
        <v>1000000</v>
      </c>
      <c r="I46" s="485">
        <v>0</v>
      </c>
      <c r="J46" s="485">
        <v>1000000</v>
      </c>
      <c r="K46" s="485">
        <v>0</v>
      </c>
      <c r="L46" s="485">
        <v>1000000</v>
      </c>
      <c r="M46" s="485">
        <v>344656.56</v>
      </c>
      <c r="N46" s="485">
        <v>74656.56</v>
      </c>
      <c r="O46" s="485">
        <v>270000</v>
      </c>
      <c r="P46" s="448">
        <f t="shared" si="1"/>
        <v>730000</v>
      </c>
    </row>
    <row r="47" spans="1:16" ht="17.100000000000001" customHeight="1" x14ac:dyDescent="0.2">
      <c r="A47" s="446" t="str">
        <f t="shared" si="2"/>
        <v>174242-3-142</v>
      </c>
      <c r="B47" s="475">
        <v>174242</v>
      </c>
      <c r="C47" s="476">
        <v>3</v>
      </c>
      <c r="D47" s="477" t="s">
        <v>8</v>
      </c>
      <c r="E47" s="476">
        <v>142</v>
      </c>
      <c r="F47" s="484">
        <v>1490000</v>
      </c>
      <c r="G47" s="484">
        <v>0</v>
      </c>
      <c r="H47" s="484">
        <v>1490000</v>
      </c>
      <c r="I47" s="484">
        <v>2050000</v>
      </c>
      <c r="J47" s="484">
        <v>3540000</v>
      </c>
      <c r="K47" s="484">
        <v>0</v>
      </c>
      <c r="L47" s="484">
        <v>3540000</v>
      </c>
      <c r="M47" s="484">
        <v>130768.3</v>
      </c>
      <c r="N47" s="484">
        <v>130768.3</v>
      </c>
      <c r="O47" s="484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79">
        <v>174242</v>
      </c>
      <c r="C48" s="480">
        <v>4</v>
      </c>
      <c r="D48" s="481" t="s">
        <v>7</v>
      </c>
      <c r="E48" s="480">
        <v>142</v>
      </c>
      <c r="F48" s="485">
        <v>1700000</v>
      </c>
      <c r="G48" s="485">
        <v>0</v>
      </c>
      <c r="H48" s="485">
        <v>1700000</v>
      </c>
      <c r="I48" s="485">
        <v>0</v>
      </c>
      <c r="J48" s="485">
        <v>1700000</v>
      </c>
      <c r="K48" s="485">
        <v>0</v>
      </c>
      <c r="L48" s="485">
        <v>1700000</v>
      </c>
      <c r="M48" s="485">
        <v>290879.71000000002</v>
      </c>
      <c r="N48" s="485">
        <v>0</v>
      </c>
      <c r="O48" s="485">
        <v>290879.71000000002</v>
      </c>
      <c r="P48" s="448">
        <f t="shared" si="1"/>
        <v>1409120.29</v>
      </c>
    </row>
    <row r="49" spans="1:17" ht="17.100000000000001" customHeight="1" x14ac:dyDescent="0.2">
      <c r="A49" s="446" t="str">
        <f t="shared" si="2"/>
        <v>174243-3-142</v>
      </c>
      <c r="B49" s="475">
        <v>174243</v>
      </c>
      <c r="C49" s="476">
        <v>3</v>
      </c>
      <c r="D49" s="477" t="s">
        <v>8</v>
      </c>
      <c r="E49" s="476">
        <v>142</v>
      </c>
      <c r="F49" s="484">
        <v>200000</v>
      </c>
      <c r="G49" s="484">
        <v>0</v>
      </c>
      <c r="H49" s="484">
        <v>200000</v>
      </c>
      <c r="I49" s="484">
        <v>0</v>
      </c>
      <c r="J49" s="484">
        <v>200000</v>
      </c>
      <c r="K49" s="484">
        <v>0</v>
      </c>
      <c r="L49" s="484">
        <v>200000</v>
      </c>
      <c r="M49" s="484">
        <v>35552.129999999997</v>
      </c>
      <c r="N49" s="484">
        <v>35552.129999999997</v>
      </c>
      <c r="O49" s="484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79">
        <v>174244</v>
      </c>
      <c r="C50" s="480">
        <v>3</v>
      </c>
      <c r="D50" s="481" t="s">
        <v>8</v>
      </c>
      <c r="E50" s="480">
        <v>142</v>
      </c>
      <c r="F50" s="485">
        <v>200000</v>
      </c>
      <c r="G50" s="485">
        <v>0</v>
      </c>
      <c r="H50" s="485">
        <v>200000</v>
      </c>
      <c r="I50" s="485">
        <v>0</v>
      </c>
      <c r="J50" s="485">
        <v>200000</v>
      </c>
      <c r="K50" s="485">
        <v>0</v>
      </c>
      <c r="L50" s="485">
        <v>200000</v>
      </c>
      <c r="M50" s="485">
        <v>4988.5199999999904</v>
      </c>
      <c r="N50" s="485">
        <v>4988.5200000000004</v>
      </c>
      <c r="O50" s="485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75">
        <v>174245</v>
      </c>
      <c r="C51" s="476">
        <v>3</v>
      </c>
      <c r="D51" s="477" t="s">
        <v>8</v>
      </c>
      <c r="E51" s="476">
        <v>142</v>
      </c>
      <c r="F51" s="484">
        <v>3539578</v>
      </c>
      <c r="G51" s="484">
        <v>0</v>
      </c>
      <c r="H51" s="484">
        <v>3539578</v>
      </c>
      <c r="I51" s="484">
        <v>0</v>
      </c>
      <c r="J51" s="484">
        <v>3539578</v>
      </c>
      <c r="K51" s="484">
        <v>0</v>
      </c>
      <c r="L51" s="484">
        <v>3539578</v>
      </c>
      <c r="M51" s="484">
        <v>0</v>
      </c>
      <c r="N51" s="484">
        <v>0</v>
      </c>
      <c r="O51" s="484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79">
        <v>174245</v>
      </c>
      <c r="C52" s="480">
        <v>4</v>
      </c>
      <c r="D52" s="481" t="s">
        <v>7</v>
      </c>
      <c r="E52" s="480">
        <v>142</v>
      </c>
      <c r="F52" s="485">
        <v>2460422</v>
      </c>
      <c r="G52" s="485">
        <v>0</v>
      </c>
      <c r="H52" s="485">
        <v>2460422</v>
      </c>
      <c r="I52" s="485">
        <v>0</v>
      </c>
      <c r="J52" s="485">
        <v>2460422</v>
      </c>
      <c r="K52" s="485">
        <v>0</v>
      </c>
      <c r="L52" s="485">
        <v>2460422</v>
      </c>
      <c r="M52" s="485">
        <v>17590.339999999898</v>
      </c>
      <c r="N52" s="485">
        <v>17590.34</v>
      </c>
      <c r="O52" s="485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75">
        <v>174246</v>
      </c>
      <c r="C53" s="476">
        <v>3</v>
      </c>
      <c r="D53" s="477" t="s">
        <v>8</v>
      </c>
      <c r="E53" s="476">
        <v>142</v>
      </c>
      <c r="F53" s="484">
        <v>300000</v>
      </c>
      <c r="G53" s="484">
        <v>0</v>
      </c>
      <c r="H53" s="484">
        <v>300000</v>
      </c>
      <c r="I53" s="484">
        <v>-50000</v>
      </c>
      <c r="J53" s="484">
        <v>250000</v>
      </c>
      <c r="K53" s="484">
        <v>0</v>
      </c>
      <c r="L53" s="484">
        <v>250000</v>
      </c>
      <c r="M53" s="484">
        <v>2495.5700000000102</v>
      </c>
      <c r="N53" s="484">
        <v>2495.5700000000002</v>
      </c>
      <c r="O53" s="484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79">
        <v>174247</v>
      </c>
      <c r="C54" s="480">
        <v>3</v>
      </c>
      <c r="D54" s="481" t="s">
        <v>8</v>
      </c>
      <c r="E54" s="480">
        <v>142</v>
      </c>
      <c r="F54" s="485">
        <v>275000</v>
      </c>
      <c r="G54" s="485">
        <v>0</v>
      </c>
      <c r="H54" s="485">
        <v>275000</v>
      </c>
      <c r="I54" s="485">
        <v>-50000</v>
      </c>
      <c r="J54" s="485">
        <v>225000</v>
      </c>
      <c r="K54" s="485">
        <v>0</v>
      </c>
      <c r="L54" s="485">
        <v>225000</v>
      </c>
      <c r="M54" s="485">
        <v>46373.760000000002</v>
      </c>
      <c r="N54" s="485">
        <v>46373.760000000002</v>
      </c>
      <c r="O54" s="485">
        <v>0</v>
      </c>
      <c r="P54" s="448">
        <f t="shared" si="1"/>
        <v>225000</v>
      </c>
    </row>
    <row r="55" spans="1:17" ht="17.100000000000001" customHeight="1" x14ac:dyDescent="0.2">
      <c r="A55" s="446" t="str">
        <f t="shared" si="2"/>
        <v>174248-3-142</v>
      </c>
      <c r="B55" s="475">
        <v>174248</v>
      </c>
      <c r="C55" s="476">
        <v>3</v>
      </c>
      <c r="D55" s="477" t="s">
        <v>8</v>
      </c>
      <c r="E55" s="476">
        <v>142</v>
      </c>
      <c r="F55" s="484">
        <v>2365000</v>
      </c>
      <c r="G55" s="484">
        <v>0</v>
      </c>
      <c r="H55" s="484">
        <v>2365000</v>
      </c>
      <c r="I55" s="484">
        <v>0</v>
      </c>
      <c r="J55" s="484">
        <v>2365000</v>
      </c>
      <c r="K55" s="484">
        <v>0</v>
      </c>
      <c r="L55" s="484">
        <v>2365000</v>
      </c>
      <c r="M55" s="484">
        <v>2365000</v>
      </c>
      <c r="N55" s="484">
        <v>2365000</v>
      </c>
      <c r="O55" s="484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79">
        <v>174249</v>
      </c>
      <c r="C56" s="480">
        <v>3</v>
      </c>
      <c r="D56" s="481" t="s">
        <v>8</v>
      </c>
      <c r="E56" s="480">
        <v>142</v>
      </c>
      <c r="F56" s="485">
        <v>900000</v>
      </c>
      <c r="G56" s="485">
        <v>0</v>
      </c>
      <c r="H56" s="485">
        <v>900000</v>
      </c>
      <c r="I56" s="485">
        <v>-400000</v>
      </c>
      <c r="J56" s="485">
        <v>500000</v>
      </c>
      <c r="K56" s="485">
        <v>0</v>
      </c>
      <c r="L56" s="485">
        <v>500000</v>
      </c>
      <c r="M56" s="485">
        <v>34332.269999999997</v>
      </c>
      <c r="N56" s="485">
        <v>34332.269999999997</v>
      </c>
      <c r="O56" s="485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75">
        <v>174249</v>
      </c>
      <c r="C57" s="476">
        <v>4</v>
      </c>
      <c r="D57" s="477" t="s">
        <v>7</v>
      </c>
      <c r="E57" s="476">
        <v>142</v>
      </c>
      <c r="F57" s="484">
        <v>300000</v>
      </c>
      <c r="G57" s="484">
        <v>0</v>
      </c>
      <c r="H57" s="484">
        <v>300000</v>
      </c>
      <c r="I57" s="484">
        <v>0</v>
      </c>
      <c r="J57" s="484">
        <v>300000</v>
      </c>
      <c r="K57" s="484">
        <v>0</v>
      </c>
      <c r="L57" s="484">
        <v>300000</v>
      </c>
      <c r="M57" s="484">
        <v>280</v>
      </c>
      <c r="N57" s="484">
        <v>0</v>
      </c>
      <c r="O57" s="484">
        <v>280</v>
      </c>
      <c r="P57" s="449">
        <f>+L57-O57</f>
        <v>299720</v>
      </c>
    </row>
    <row r="58" spans="1:17" ht="17.100000000000001" customHeight="1" x14ac:dyDescent="0.2">
      <c r="A58" s="446" t="str">
        <f t="shared" si="2"/>
        <v>174250-3-142</v>
      </c>
      <c r="B58" s="479">
        <v>174250</v>
      </c>
      <c r="C58" s="480">
        <v>3</v>
      </c>
      <c r="D58" s="481" t="s">
        <v>8</v>
      </c>
      <c r="E58" s="480">
        <v>142</v>
      </c>
      <c r="F58" s="485">
        <v>1579000</v>
      </c>
      <c r="G58" s="485">
        <v>0</v>
      </c>
      <c r="H58" s="485">
        <v>1579000</v>
      </c>
      <c r="I58" s="485">
        <v>0</v>
      </c>
      <c r="J58" s="485">
        <v>1579000</v>
      </c>
      <c r="K58" s="485">
        <v>0</v>
      </c>
      <c r="L58" s="485">
        <v>1579000</v>
      </c>
      <c r="M58" s="485">
        <v>2793.3999999999101</v>
      </c>
      <c r="N58" s="485">
        <v>2793.4</v>
      </c>
      <c r="O58" s="485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75">
        <v>174250</v>
      </c>
      <c r="C59" s="476">
        <v>4</v>
      </c>
      <c r="D59" s="477" t="s">
        <v>7</v>
      </c>
      <c r="E59" s="476">
        <v>142</v>
      </c>
      <c r="F59" s="484">
        <v>800000</v>
      </c>
      <c r="G59" s="484">
        <v>0</v>
      </c>
      <c r="H59" s="484">
        <v>800000</v>
      </c>
      <c r="I59" s="484">
        <v>-353445</v>
      </c>
      <c r="J59" s="484">
        <v>446555</v>
      </c>
      <c r="K59" s="484">
        <v>0</v>
      </c>
      <c r="L59" s="484">
        <v>446555</v>
      </c>
      <c r="M59" s="484">
        <v>231156</v>
      </c>
      <c r="N59" s="484">
        <v>231156</v>
      </c>
      <c r="O59" s="484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79">
        <v>174251</v>
      </c>
      <c r="C60" s="480">
        <v>3</v>
      </c>
      <c r="D60" s="481" t="s">
        <v>8</v>
      </c>
      <c r="E60" s="480">
        <v>142</v>
      </c>
      <c r="F60" s="485">
        <v>200000</v>
      </c>
      <c r="G60" s="485">
        <v>0</v>
      </c>
      <c r="H60" s="485">
        <v>200000</v>
      </c>
      <c r="I60" s="485">
        <v>-200000</v>
      </c>
      <c r="J60" s="485">
        <v>0</v>
      </c>
      <c r="K60" s="485">
        <v>0</v>
      </c>
      <c r="L60" s="485">
        <v>0</v>
      </c>
      <c r="M60" s="485">
        <v>0</v>
      </c>
      <c r="N60" s="485">
        <v>0</v>
      </c>
      <c r="O60" s="485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75">
        <v>174252</v>
      </c>
      <c r="C61" s="476">
        <v>3</v>
      </c>
      <c r="D61" s="477" t="s">
        <v>8</v>
      </c>
      <c r="E61" s="476">
        <v>142</v>
      </c>
      <c r="F61" s="484">
        <v>3400000</v>
      </c>
      <c r="G61" s="484">
        <v>0</v>
      </c>
      <c r="H61" s="484">
        <v>3400000</v>
      </c>
      <c r="I61" s="484">
        <v>-1250000</v>
      </c>
      <c r="J61" s="484">
        <v>2150000</v>
      </c>
      <c r="K61" s="484">
        <v>0</v>
      </c>
      <c r="L61" s="484">
        <v>2150000</v>
      </c>
      <c r="M61" s="484">
        <v>308122.48</v>
      </c>
      <c r="N61" s="484">
        <v>58122.48</v>
      </c>
      <c r="O61" s="484">
        <v>250000</v>
      </c>
      <c r="P61" s="449">
        <f>+L61-O61</f>
        <v>1900000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79">
        <v>174253</v>
      </c>
      <c r="C62" s="480">
        <v>3</v>
      </c>
      <c r="D62" s="481" t="s">
        <v>8</v>
      </c>
      <c r="E62" s="480">
        <v>142</v>
      </c>
      <c r="F62" s="485">
        <v>350000</v>
      </c>
      <c r="G62" s="485">
        <v>0</v>
      </c>
      <c r="H62" s="485">
        <v>350000</v>
      </c>
      <c r="I62" s="485">
        <v>-44037</v>
      </c>
      <c r="J62" s="485">
        <v>305963</v>
      </c>
      <c r="K62" s="485">
        <v>0</v>
      </c>
      <c r="L62" s="485">
        <v>305963</v>
      </c>
      <c r="M62" s="485">
        <v>66820.53</v>
      </c>
      <c r="N62" s="485">
        <v>66820.53</v>
      </c>
      <c r="O62" s="485">
        <v>0</v>
      </c>
      <c r="P62" s="448">
        <f t="shared" si="1"/>
        <v>305963</v>
      </c>
    </row>
    <row r="63" spans="1:17" ht="17.100000000000001" customHeight="1" x14ac:dyDescent="0.2">
      <c r="A63" s="446" t="str">
        <f t="shared" si="3"/>
        <v>174254-3-142</v>
      </c>
      <c r="B63" s="475">
        <v>174254</v>
      </c>
      <c r="C63" s="476">
        <v>3</v>
      </c>
      <c r="D63" s="477" t="s">
        <v>8</v>
      </c>
      <c r="E63" s="476">
        <v>142</v>
      </c>
      <c r="F63" s="484">
        <v>980000</v>
      </c>
      <c r="G63" s="484">
        <v>0</v>
      </c>
      <c r="H63" s="484">
        <v>980000</v>
      </c>
      <c r="I63" s="484">
        <v>-153000</v>
      </c>
      <c r="J63" s="484">
        <v>827000</v>
      </c>
      <c r="K63" s="484">
        <v>0</v>
      </c>
      <c r="L63" s="484">
        <v>827000</v>
      </c>
      <c r="M63" s="484">
        <v>94468.92</v>
      </c>
      <c r="N63" s="484">
        <v>94468.92</v>
      </c>
      <c r="O63" s="484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79">
        <v>174255</v>
      </c>
      <c r="C64" s="480">
        <v>3</v>
      </c>
      <c r="D64" s="481" t="s">
        <v>8</v>
      </c>
      <c r="E64" s="480">
        <v>142</v>
      </c>
      <c r="F64" s="485">
        <v>421000</v>
      </c>
      <c r="G64" s="485">
        <v>0</v>
      </c>
      <c r="H64" s="485">
        <v>421000</v>
      </c>
      <c r="I64" s="485">
        <v>0</v>
      </c>
      <c r="J64" s="485">
        <v>421000</v>
      </c>
      <c r="K64" s="485">
        <v>0</v>
      </c>
      <c r="L64" s="485">
        <v>421000</v>
      </c>
      <c r="M64" s="485">
        <v>0</v>
      </c>
      <c r="N64" s="485">
        <v>0</v>
      </c>
      <c r="O64" s="485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75">
        <v>174256</v>
      </c>
      <c r="C65" s="476">
        <v>3</v>
      </c>
      <c r="D65" s="477" t="s">
        <v>8</v>
      </c>
      <c r="E65" s="476">
        <v>142</v>
      </c>
      <c r="F65" s="484">
        <v>300000</v>
      </c>
      <c r="G65" s="484">
        <v>0</v>
      </c>
      <c r="H65" s="484">
        <v>300000</v>
      </c>
      <c r="I65" s="484">
        <v>0</v>
      </c>
      <c r="J65" s="484">
        <v>300000</v>
      </c>
      <c r="K65" s="484">
        <v>0</v>
      </c>
      <c r="L65" s="484">
        <v>300000</v>
      </c>
      <c r="M65" s="484">
        <v>1953.01000000001</v>
      </c>
      <c r="N65" s="484">
        <v>1953.01</v>
      </c>
      <c r="O65" s="484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79">
        <v>174257</v>
      </c>
      <c r="C66" s="480">
        <v>3</v>
      </c>
      <c r="D66" s="481" t="s">
        <v>8</v>
      </c>
      <c r="E66" s="480">
        <v>142</v>
      </c>
      <c r="F66" s="485">
        <v>3913610</v>
      </c>
      <c r="G66" s="485">
        <v>0</v>
      </c>
      <c r="H66" s="485">
        <v>3913610</v>
      </c>
      <c r="I66" s="485">
        <v>0</v>
      </c>
      <c r="J66" s="485">
        <v>3913610</v>
      </c>
      <c r="K66" s="485">
        <v>0</v>
      </c>
      <c r="L66" s="485">
        <v>3913610</v>
      </c>
      <c r="M66" s="485">
        <v>233081.91</v>
      </c>
      <c r="N66" s="485">
        <v>1081.9100000000001</v>
      </c>
      <c r="O66" s="485">
        <v>232000</v>
      </c>
      <c r="P66" s="448">
        <f t="shared" si="1"/>
        <v>3681610</v>
      </c>
    </row>
    <row r="67" spans="1:16" ht="17.100000000000001" customHeight="1" x14ac:dyDescent="0.2">
      <c r="A67" s="446" t="str">
        <f t="shared" si="3"/>
        <v>174257-4-142</v>
      </c>
      <c r="B67" s="475">
        <v>174257</v>
      </c>
      <c r="C67" s="476">
        <v>4</v>
      </c>
      <c r="D67" s="477" t="s">
        <v>7</v>
      </c>
      <c r="E67" s="476">
        <v>142</v>
      </c>
      <c r="F67" s="484">
        <v>197500</v>
      </c>
      <c r="G67" s="484">
        <v>0</v>
      </c>
      <c r="H67" s="484">
        <v>197500</v>
      </c>
      <c r="I67" s="484">
        <v>0</v>
      </c>
      <c r="J67" s="484">
        <v>197500</v>
      </c>
      <c r="K67" s="484">
        <v>0</v>
      </c>
      <c r="L67" s="484">
        <v>197500</v>
      </c>
      <c r="M67" s="484">
        <v>7500</v>
      </c>
      <c r="N67" s="484">
        <v>7500</v>
      </c>
      <c r="O67" s="484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79">
        <v>174258</v>
      </c>
      <c r="C68" s="480">
        <v>3</v>
      </c>
      <c r="D68" s="481" t="s">
        <v>8</v>
      </c>
      <c r="E68" s="480">
        <v>142</v>
      </c>
      <c r="F68" s="485">
        <v>1800000</v>
      </c>
      <c r="G68" s="485">
        <v>0</v>
      </c>
      <c r="H68" s="485">
        <v>1800000</v>
      </c>
      <c r="I68" s="485">
        <v>-305000</v>
      </c>
      <c r="J68" s="485">
        <v>1495000</v>
      </c>
      <c r="K68" s="485">
        <v>0</v>
      </c>
      <c r="L68" s="485">
        <v>1495000</v>
      </c>
      <c r="M68" s="485">
        <v>0</v>
      </c>
      <c r="N68" s="485">
        <v>0</v>
      </c>
      <c r="O68" s="485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75">
        <v>174258</v>
      </c>
      <c r="C69" s="476">
        <v>4</v>
      </c>
      <c r="D69" s="477" t="s">
        <v>7</v>
      </c>
      <c r="E69" s="476">
        <v>142</v>
      </c>
      <c r="F69" s="484">
        <v>1400000</v>
      </c>
      <c r="G69" s="484">
        <v>0</v>
      </c>
      <c r="H69" s="484">
        <v>1400000</v>
      </c>
      <c r="I69" s="484">
        <v>-639075</v>
      </c>
      <c r="J69" s="484">
        <v>760925</v>
      </c>
      <c r="K69" s="484">
        <v>0</v>
      </c>
      <c r="L69" s="484">
        <v>760925</v>
      </c>
      <c r="M69" s="484">
        <v>0</v>
      </c>
      <c r="N69" s="484">
        <v>0</v>
      </c>
      <c r="O69" s="484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79">
        <v>174259</v>
      </c>
      <c r="C70" s="480">
        <v>3</v>
      </c>
      <c r="D70" s="481" t="s">
        <v>8</v>
      </c>
      <c r="E70" s="480">
        <v>142</v>
      </c>
      <c r="F70" s="485">
        <v>150000</v>
      </c>
      <c r="G70" s="485">
        <v>0</v>
      </c>
      <c r="H70" s="485">
        <v>150000</v>
      </c>
      <c r="I70" s="485">
        <v>35000</v>
      </c>
      <c r="J70" s="485">
        <v>185000</v>
      </c>
      <c r="K70" s="485">
        <v>0</v>
      </c>
      <c r="L70" s="485">
        <v>185000</v>
      </c>
      <c r="M70" s="485">
        <v>25710.71</v>
      </c>
      <c r="N70" s="485">
        <v>25710.71</v>
      </c>
      <c r="O70" s="485"/>
      <c r="P70" s="448">
        <f t="shared" si="1"/>
        <v>185000</v>
      </c>
    </row>
    <row r="71" spans="1:16" ht="17.100000000000001" customHeight="1" x14ac:dyDescent="0.2">
      <c r="A71" s="446" t="str">
        <f t="shared" si="3"/>
        <v>174260-3-142</v>
      </c>
      <c r="B71" s="475">
        <v>174260</v>
      </c>
      <c r="C71" s="476">
        <v>3</v>
      </c>
      <c r="D71" s="477" t="s">
        <v>8</v>
      </c>
      <c r="E71" s="476">
        <v>142</v>
      </c>
      <c r="F71" s="484">
        <v>1685000</v>
      </c>
      <c r="G71" s="484">
        <v>0</v>
      </c>
      <c r="H71" s="484">
        <v>1685000</v>
      </c>
      <c r="I71" s="484">
        <v>-107000</v>
      </c>
      <c r="J71" s="484">
        <v>1578000</v>
      </c>
      <c r="K71" s="484">
        <v>0</v>
      </c>
      <c r="L71" s="484">
        <v>1578000</v>
      </c>
      <c r="M71" s="484">
        <v>60968.1499999999</v>
      </c>
      <c r="N71" s="484">
        <v>60968.15</v>
      </c>
      <c r="O71" s="484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79">
        <v>174261</v>
      </c>
      <c r="C72" s="480">
        <v>3</v>
      </c>
      <c r="D72" s="481" t="s">
        <v>8</v>
      </c>
      <c r="E72" s="480">
        <v>142</v>
      </c>
      <c r="F72" s="485">
        <v>16000000</v>
      </c>
      <c r="G72" s="485">
        <v>0</v>
      </c>
      <c r="H72" s="485">
        <v>16000000</v>
      </c>
      <c r="I72" s="485">
        <v>-1100000</v>
      </c>
      <c r="J72" s="485">
        <v>14900000</v>
      </c>
      <c r="K72" s="485">
        <v>0</v>
      </c>
      <c r="L72" s="485">
        <v>14900000</v>
      </c>
      <c r="M72" s="485">
        <v>1410000.31</v>
      </c>
      <c r="N72" s="485">
        <v>1410000.31</v>
      </c>
      <c r="O72" s="485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475">
        <v>174262</v>
      </c>
      <c r="C73" s="476">
        <v>3</v>
      </c>
      <c r="D73" s="477" t="s">
        <v>8</v>
      </c>
      <c r="E73" s="476">
        <v>142</v>
      </c>
      <c r="F73" s="484">
        <v>2126000</v>
      </c>
      <c r="G73" s="484">
        <v>0</v>
      </c>
      <c r="H73" s="484">
        <v>2126000</v>
      </c>
      <c r="I73" s="484">
        <v>0</v>
      </c>
      <c r="J73" s="484">
        <v>2126000</v>
      </c>
      <c r="K73" s="484">
        <v>0</v>
      </c>
      <c r="L73" s="484">
        <v>2126000</v>
      </c>
      <c r="M73" s="484">
        <v>40534.840000000098</v>
      </c>
      <c r="N73" s="484">
        <v>40534.839999999997</v>
      </c>
      <c r="O73" s="484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79">
        <v>174262</v>
      </c>
      <c r="C74" s="480">
        <v>4</v>
      </c>
      <c r="D74" s="481" t="s">
        <v>7</v>
      </c>
      <c r="E74" s="480">
        <v>142</v>
      </c>
      <c r="F74" s="485">
        <v>495000</v>
      </c>
      <c r="G74" s="485">
        <v>0</v>
      </c>
      <c r="H74" s="485">
        <v>495000</v>
      </c>
      <c r="I74" s="485">
        <v>0</v>
      </c>
      <c r="J74" s="485">
        <v>495000</v>
      </c>
      <c r="K74" s="485">
        <v>0</v>
      </c>
      <c r="L74" s="485">
        <v>495000</v>
      </c>
      <c r="M74" s="485">
        <v>5711.2000000000098</v>
      </c>
      <c r="N74" s="485">
        <v>5711.2</v>
      </c>
      <c r="O74" s="485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75">
        <v>174263</v>
      </c>
      <c r="C75" s="476">
        <v>3</v>
      </c>
      <c r="D75" s="477" t="s">
        <v>8</v>
      </c>
      <c r="E75" s="476">
        <v>142</v>
      </c>
      <c r="F75" s="484">
        <v>700000</v>
      </c>
      <c r="G75" s="484">
        <v>0</v>
      </c>
      <c r="H75" s="484">
        <v>700000</v>
      </c>
      <c r="I75" s="484">
        <v>-45000</v>
      </c>
      <c r="J75" s="484">
        <v>655000</v>
      </c>
      <c r="K75" s="484">
        <v>0</v>
      </c>
      <c r="L75" s="484">
        <v>655000</v>
      </c>
      <c r="M75" s="484">
        <v>0</v>
      </c>
      <c r="N75" s="484">
        <v>0</v>
      </c>
      <c r="O75" s="484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79">
        <v>174263</v>
      </c>
      <c r="C76" s="480">
        <v>4</v>
      </c>
      <c r="D76" s="481" t="s">
        <v>7</v>
      </c>
      <c r="E76" s="480">
        <v>142</v>
      </c>
      <c r="F76" s="485">
        <v>100000</v>
      </c>
      <c r="G76" s="485">
        <v>0</v>
      </c>
      <c r="H76" s="485">
        <v>100000</v>
      </c>
      <c r="I76" s="485">
        <v>400000</v>
      </c>
      <c r="J76" s="485">
        <v>500000</v>
      </c>
      <c r="K76" s="485">
        <v>0</v>
      </c>
      <c r="L76" s="485">
        <v>500000</v>
      </c>
      <c r="M76" s="485">
        <v>73594</v>
      </c>
      <c r="N76" s="485">
        <v>73594</v>
      </c>
      <c r="O76" s="485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75">
        <v>174264</v>
      </c>
      <c r="C77" s="476">
        <v>3</v>
      </c>
      <c r="D77" s="477" t="s">
        <v>8</v>
      </c>
      <c r="E77" s="476">
        <v>142</v>
      </c>
      <c r="F77" s="484">
        <v>3500000</v>
      </c>
      <c r="G77" s="484">
        <v>0</v>
      </c>
      <c r="H77" s="484">
        <v>3500000</v>
      </c>
      <c r="I77" s="484">
        <v>-200000</v>
      </c>
      <c r="J77" s="484">
        <v>3300000</v>
      </c>
      <c r="K77" s="484">
        <v>0</v>
      </c>
      <c r="L77" s="484">
        <v>3300000</v>
      </c>
      <c r="M77" s="484">
        <v>4013.8500000000899</v>
      </c>
      <c r="N77" s="484">
        <v>4013.85</v>
      </c>
      <c r="O77" s="484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79">
        <v>174264</v>
      </c>
      <c r="C78" s="480">
        <v>4</v>
      </c>
      <c r="D78" s="481" t="s">
        <v>7</v>
      </c>
      <c r="E78" s="480">
        <v>142</v>
      </c>
      <c r="F78" s="485">
        <v>1400000</v>
      </c>
      <c r="G78" s="485">
        <v>0</v>
      </c>
      <c r="H78" s="485">
        <v>1400000</v>
      </c>
      <c r="I78" s="485">
        <v>-483611</v>
      </c>
      <c r="J78" s="485">
        <v>916389</v>
      </c>
      <c r="K78" s="485">
        <v>0</v>
      </c>
      <c r="L78" s="485">
        <v>916389</v>
      </c>
      <c r="M78" s="485">
        <v>664606.75</v>
      </c>
      <c r="N78" s="485">
        <v>664606.75</v>
      </c>
      <c r="O78" s="485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75">
        <v>174265</v>
      </c>
      <c r="C79" s="476">
        <v>3</v>
      </c>
      <c r="D79" s="477" t="s">
        <v>8</v>
      </c>
      <c r="E79" s="476">
        <v>142</v>
      </c>
      <c r="F79" s="484">
        <v>695000</v>
      </c>
      <c r="G79" s="484">
        <v>0</v>
      </c>
      <c r="H79" s="484">
        <v>695000</v>
      </c>
      <c r="I79" s="484">
        <v>-292000</v>
      </c>
      <c r="J79" s="484">
        <v>403000</v>
      </c>
      <c r="K79" s="484">
        <v>0</v>
      </c>
      <c r="L79" s="484">
        <v>403000</v>
      </c>
      <c r="M79" s="484">
        <v>47979.38</v>
      </c>
      <c r="N79" s="484">
        <v>47979.38</v>
      </c>
      <c r="O79" s="484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79">
        <v>174266</v>
      </c>
      <c r="C80" s="480">
        <v>3</v>
      </c>
      <c r="D80" s="481" t="s">
        <v>8</v>
      </c>
      <c r="E80" s="480">
        <v>142</v>
      </c>
      <c r="F80" s="485">
        <v>400000</v>
      </c>
      <c r="G80" s="485">
        <v>0</v>
      </c>
      <c r="H80" s="485">
        <v>400000</v>
      </c>
      <c r="I80" s="485">
        <v>-400000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75">
        <v>174267</v>
      </c>
      <c r="C81" s="476">
        <v>3</v>
      </c>
      <c r="D81" s="477" t="s">
        <v>8</v>
      </c>
      <c r="E81" s="476">
        <v>142</v>
      </c>
      <c r="F81" s="484">
        <v>2007890</v>
      </c>
      <c r="G81" s="484">
        <v>0</v>
      </c>
      <c r="H81" s="484">
        <v>2007890</v>
      </c>
      <c r="I81" s="484">
        <v>-465725</v>
      </c>
      <c r="J81" s="484">
        <v>1542165</v>
      </c>
      <c r="K81" s="484">
        <v>0</v>
      </c>
      <c r="L81" s="484">
        <v>1542165</v>
      </c>
      <c r="M81" s="484">
        <v>36452.449999999997</v>
      </c>
      <c r="N81" s="484">
        <v>36452.449999999997</v>
      </c>
      <c r="O81" s="484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79">
        <v>174267</v>
      </c>
      <c r="C82" s="480">
        <v>4</v>
      </c>
      <c r="D82" s="481" t="s">
        <v>7</v>
      </c>
      <c r="E82" s="480">
        <v>142</v>
      </c>
      <c r="F82" s="485">
        <v>110000</v>
      </c>
      <c r="G82" s="485">
        <v>0</v>
      </c>
      <c r="H82" s="485">
        <v>110000</v>
      </c>
      <c r="I82" s="485">
        <v>0</v>
      </c>
      <c r="J82" s="485">
        <v>110000</v>
      </c>
      <c r="K82" s="485">
        <v>0</v>
      </c>
      <c r="L82" s="485">
        <v>110000</v>
      </c>
      <c r="M82" s="485">
        <v>0</v>
      </c>
      <c r="N82" s="485">
        <v>0</v>
      </c>
      <c r="O82" s="485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75">
        <v>174268</v>
      </c>
      <c r="C83" s="476">
        <v>3</v>
      </c>
      <c r="D83" s="477" t="s">
        <v>8</v>
      </c>
      <c r="E83" s="476">
        <v>142</v>
      </c>
      <c r="F83" s="484">
        <v>800000</v>
      </c>
      <c r="G83" s="484">
        <v>0</v>
      </c>
      <c r="H83" s="484">
        <v>800000</v>
      </c>
      <c r="I83" s="484">
        <v>-100000</v>
      </c>
      <c r="J83" s="484">
        <v>700000</v>
      </c>
      <c r="K83" s="484">
        <v>0</v>
      </c>
      <c r="L83" s="484">
        <v>700000</v>
      </c>
      <c r="M83" s="484">
        <v>0</v>
      </c>
      <c r="N83" s="484">
        <v>0</v>
      </c>
      <c r="O83" s="484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79">
        <v>174268</v>
      </c>
      <c r="C84" s="480">
        <v>4</v>
      </c>
      <c r="D84" s="481" t="s">
        <v>7</v>
      </c>
      <c r="E84" s="480">
        <v>142</v>
      </c>
      <c r="F84" s="485">
        <v>100000</v>
      </c>
      <c r="G84" s="485">
        <v>0</v>
      </c>
      <c r="H84" s="485">
        <v>100000</v>
      </c>
      <c r="I84" s="485">
        <v>0</v>
      </c>
      <c r="J84" s="485">
        <v>100000</v>
      </c>
      <c r="K84" s="485">
        <v>0</v>
      </c>
      <c r="L84" s="485">
        <v>100000</v>
      </c>
      <c r="M84" s="485">
        <v>84185.1</v>
      </c>
      <c r="N84" s="485">
        <v>84185.1</v>
      </c>
      <c r="O84" s="485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75">
        <v>174269</v>
      </c>
      <c r="C85" s="476">
        <v>3</v>
      </c>
      <c r="D85" s="477" t="s">
        <v>8</v>
      </c>
      <c r="E85" s="476">
        <v>142</v>
      </c>
      <c r="F85" s="484">
        <v>5000000</v>
      </c>
      <c r="G85" s="484">
        <v>0</v>
      </c>
      <c r="H85" s="484">
        <v>5000000</v>
      </c>
      <c r="I85" s="484">
        <v>-889327</v>
      </c>
      <c r="J85" s="484">
        <v>4110673</v>
      </c>
      <c r="K85" s="484">
        <v>0</v>
      </c>
      <c r="L85" s="484">
        <v>4110673</v>
      </c>
      <c r="M85" s="484">
        <v>8528.0499999998101</v>
      </c>
      <c r="N85" s="484">
        <v>8528.0499999999993</v>
      </c>
      <c r="O85" s="484">
        <v>0</v>
      </c>
      <c r="P85" s="449">
        <f>+L85-O85</f>
        <v>4110673</v>
      </c>
    </row>
    <row r="86" spans="1:16" ht="17.100000000000001" customHeight="1" x14ac:dyDescent="0.2">
      <c r="A86" s="446" t="str">
        <f t="shared" si="3"/>
        <v>174270-3-142</v>
      </c>
      <c r="B86" s="479">
        <v>174270</v>
      </c>
      <c r="C86" s="480">
        <v>3</v>
      </c>
      <c r="D86" s="481" t="s">
        <v>8</v>
      </c>
      <c r="E86" s="480">
        <v>142</v>
      </c>
      <c r="F86" s="485">
        <v>2950000</v>
      </c>
      <c r="G86" s="485">
        <v>0</v>
      </c>
      <c r="H86" s="485">
        <v>2950000</v>
      </c>
      <c r="I86" s="485">
        <v>-309000</v>
      </c>
      <c r="J86" s="485">
        <v>2641000</v>
      </c>
      <c r="K86" s="485">
        <v>0</v>
      </c>
      <c r="L86" s="485">
        <v>2641000</v>
      </c>
      <c r="M86" s="485">
        <v>364583.55</v>
      </c>
      <c r="N86" s="485">
        <v>364583.55</v>
      </c>
      <c r="O86" s="485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75">
        <v>174271</v>
      </c>
      <c r="C87" s="476">
        <v>3</v>
      </c>
      <c r="D87" s="477" t="s">
        <v>8</v>
      </c>
      <c r="E87" s="476">
        <v>142</v>
      </c>
      <c r="F87" s="484">
        <v>700000</v>
      </c>
      <c r="G87" s="484">
        <v>0</v>
      </c>
      <c r="H87" s="484">
        <v>700000</v>
      </c>
      <c r="I87" s="484">
        <v>-100000</v>
      </c>
      <c r="J87" s="484">
        <v>600000</v>
      </c>
      <c r="K87" s="484">
        <v>0</v>
      </c>
      <c r="L87" s="484">
        <v>600000</v>
      </c>
      <c r="M87" s="484">
        <v>162389.31</v>
      </c>
      <c r="N87" s="484">
        <v>162389.31</v>
      </c>
      <c r="O87" s="484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79">
        <v>174271</v>
      </c>
      <c r="C88" s="480">
        <v>4</v>
      </c>
      <c r="D88" s="481" t="s">
        <v>7</v>
      </c>
      <c r="E88" s="480">
        <v>142</v>
      </c>
      <c r="F88" s="485">
        <v>100000</v>
      </c>
      <c r="G88" s="485">
        <v>0</v>
      </c>
      <c r="H88" s="485">
        <v>100000</v>
      </c>
      <c r="I88" s="485">
        <v>0</v>
      </c>
      <c r="J88" s="485">
        <v>100000</v>
      </c>
      <c r="K88" s="485">
        <v>0</v>
      </c>
      <c r="L88" s="485">
        <v>100000</v>
      </c>
      <c r="M88" s="485">
        <v>0</v>
      </c>
      <c r="N88" s="485">
        <v>0</v>
      </c>
      <c r="O88" s="485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75">
        <v>174272</v>
      </c>
      <c r="C89" s="476">
        <v>3</v>
      </c>
      <c r="D89" s="477" t="s">
        <v>8</v>
      </c>
      <c r="E89" s="476">
        <v>142</v>
      </c>
      <c r="F89" s="484">
        <v>1000000</v>
      </c>
      <c r="G89" s="484">
        <v>0</v>
      </c>
      <c r="H89" s="484">
        <v>1000000</v>
      </c>
      <c r="I89" s="484">
        <v>-589075</v>
      </c>
      <c r="J89" s="484">
        <v>410925</v>
      </c>
      <c r="K89" s="484">
        <v>0</v>
      </c>
      <c r="L89" s="484">
        <v>410925</v>
      </c>
      <c r="M89" s="484">
        <v>12998.31</v>
      </c>
      <c r="N89" s="484">
        <v>12998.31</v>
      </c>
      <c r="O89" s="484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79">
        <v>174273</v>
      </c>
      <c r="C90" s="480">
        <v>3</v>
      </c>
      <c r="D90" s="481" t="s">
        <v>8</v>
      </c>
      <c r="E90" s="480">
        <v>142</v>
      </c>
      <c r="F90" s="485">
        <v>1000000</v>
      </c>
      <c r="G90" s="485">
        <v>0</v>
      </c>
      <c r="H90" s="485">
        <v>1000000</v>
      </c>
      <c r="I90" s="485">
        <v>0</v>
      </c>
      <c r="J90" s="485">
        <v>1000000</v>
      </c>
      <c r="K90" s="485">
        <v>0</v>
      </c>
      <c r="L90" s="485">
        <v>1000000</v>
      </c>
      <c r="M90" s="485">
        <v>0</v>
      </c>
      <c r="N90" s="485">
        <v>0</v>
      </c>
      <c r="O90" s="485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75">
        <v>195063</v>
      </c>
      <c r="C91" s="476">
        <v>3</v>
      </c>
      <c r="D91" s="477" t="s">
        <v>8</v>
      </c>
      <c r="E91" s="476">
        <v>100</v>
      </c>
      <c r="F91" s="484">
        <v>1949502</v>
      </c>
      <c r="G91" s="484">
        <v>0</v>
      </c>
      <c r="H91" s="484">
        <v>1949502</v>
      </c>
      <c r="I91" s="484">
        <v>0</v>
      </c>
      <c r="J91" s="484">
        <v>1949502</v>
      </c>
      <c r="K91" s="484">
        <v>0</v>
      </c>
      <c r="L91" s="484">
        <v>1949502</v>
      </c>
      <c r="M91" s="484">
        <v>1043298.28</v>
      </c>
      <c r="N91" s="484">
        <v>1058507.68</v>
      </c>
      <c r="O91" s="484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79">
        <v>195065</v>
      </c>
      <c r="C92" s="480">
        <v>3</v>
      </c>
      <c r="D92" s="481" t="s">
        <v>8</v>
      </c>
      <c r="E92" s="480">
        <v>100</v>
      </c>
      <c r="F92" s="485">
        <v>233177</v>
      </c>
      <c r="G92" s="485">
        <v>0</v>
      </c>
      <c r="H92" s="485">
        <v>233177</v>
      </c>
      <c r="I92" s="485">
        <v>0</v>
      </c>
      <c r="J92" s="485">
        <v>233177</v>
      </c>
      <c r="K92" s="485">
        <v>0</v>
      </c>
      <c r="L92" s="485">
        <v>233177</v>
      </c>
      <c r="M92" s="485">
        <v>100377.45</v>
      </c>
      <c r="N92" s="485">
        <v>100377.45</v>
      </c>
      <c r="O92" s="485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75">
        <v>195067</v>
      </c>
      <c r="C93" s="476">
        <v>3</v>
      </c>
      <c r="D93" s="477" t="s">
        <v>8</v>
      </c>
      <c r="E93" s="476">
        <v>100</v>
      </c>
      <c r="F93" s="484">
        <v>17628738</v>
      </c>
      <c r="G93" s="484">
        <v>0</v>
      </c>
      <c r="H93" s="484">
        <v>17628738</v>
      </c>
      <c r="I93" s="484">
        <v>0</v>
      </c>
      <c r="J93" s="484">
        <v>17628738</v>
      </c>
      <c r="K93" s="484">
        <v>0</v>
      </c>
      <c r="L93" s="484">
        <v>17628738</v>
      </c>
      <c r="M93" s="484">
        <v>3983331.68</v>
      </c>
      <c r="N93" s="484">
        <v>3983331.68</v>
      </c>
      <c r="O93" s="484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479">
        <v>204816</v>
      </c>
      <c r="C94" s="480">
        <v>3</v>
      </c>
      <c r="D94" s="481" t="s">
        <v>8</v>
      </c>
      <c r="E94" s="480">
        <v>181</v>
      </c>
      <c r="F94" s="485">
        <v>800000</v>
      </c>
      <c r="G94" s="485">
        <v>0</v>
      </c>
      <c r="H94" s="485">
        <v>800000</v>
      </c>
      <c r="I94" s="485">
        <v>0</v>
      </c>
      <c r="J94" s="485">
        <v>800000</v>
      </c>
      <c r="K94" s="485">
        <v>0</v>
      </c>
      <c r="L94" s="485">
        <v>800000</v>
      </c>
      <c r="M94" s="485">
        <v>259652.03</v>
      </c>
      <c r="N94" s="485">
        <v>259652.03</v>
      </c>
      <c r="O94" s="485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75">
        <v>204817</v>
      </c>
      <c r="C95" s="476">
        <v>3</v>
      </c>
      <c r="D95" s="477" t="s">
        <v>8</v>
      </c>
      <c r="E95" s="476">
        <v>181</v>
      </c>
      <c r="F95" s="484">
        <v>700000</v>
      </c>
      <c r="G95" s="484">
        <v>0</v>
      </c>
      <c r="H95" s="484">
        <v>700000</v>
      </c>
      <c r="I95" s="484">
        <v>0</v>
      </c>
      <c r="J95" s="484">
        <v>700000</v>
      </c>
      <c r="K95" s="484">
        <v>0</v>
      </c>
      <c r="L95" s="484">
        <v>700000</v>
      </c>
      <c r="M95" s="484">
        <v>487457.31</v>
      </c>
      <c r="N95" s="484">
        <v>327457.31</v>
      </c>
      <c r="O95" s="484">
        <v>160000</v>
      </c>
      <c r="P95" s="452">
        <f>+L95-O95</f>
        <v>540000</v>
      </c>
    </row>
    <row r="96" spans="1:16" ht="17.100000000000001" customHeight="1" x14ac:dyDescent="0.2">
      <c r="A96" s="446" t="str">
        <f t="shared" si="4"/>
        <v>204818-3-142</v>
      </c>
      <c r="B96" s="479">
        <v>204818</v>
      </c>
      <c r="C96" s="480">
        <v>3</v>
      </c>
      <c r="D96" s="481" t="s">
        <v>8</v>
      </c>
      <c r="E96" s="480">
        <v>142</v>
      </c>
      <c r="F96" s="485">
        <v>1</v>
      </c>
      <c r="G96" s="485">
        <v>0</v>
      </c>
      <c r="H96" s="485">
        <v>1</v>
      </c>
      <c r="I96" s="485">
        <v>0</v>
      </c>
      <c r="J96" s="485">
        <v>1</v>
      </c>
      <c r="K96" s="485">
        <v>0</v>
      </c>
      <c r="L96" s="485">
        <v>1</v>
      </c>
      <c r="M96" s="485">
        <v>1</v>
      </c>
      <c r="N96" s="485">
        <v>1</v>
      </c>
      <c r="O96" s="485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475">
        <v>213406</v>
      </c>
      <c r="C97" s="476">
        <v>3</v>
      </c>
      <c r="D97" s="477" t="s">
        <v>8</v>
      </c>
      <c r="E97" s="476">
        <v>188</v>
      </c>
      <c r="F97" s="484"/>
      <c r="G97" s="484">
        <v>0</v>
      </c>
      <c r="H97" s="484">
        <v>0</v>
      </c>
      <c r="I97" s="484">
        <v>200000</v>
      </c>
      <c r="J97" s="484">
        <v>200000</v>
      </c>
      <c r="K97" s="484">
        <v>0</v>
      </c>
      <c r="L97" s="484">
        <v>200000</v>
      </c>
      <c r="M97" s="484">
        <v>189120.68</v>
      </c>
      <c r="N97" s="484">
        <v>189120.68</v>
      </c>
      <c r="O97" s="484">
        <v>0</v>
      </c>
      <c r="P97" s="452">
        <f>+L97-O97</f>
        <v>200000</v>
      </c>
    </row>
    <row r="98" spans="1:16" ht="16.5" customHeight="1" x14ac:dyDescent="0.2">
      <c r="A98" s="446"/>
      <c r="B98" s="486" t="s">
        <v>9</v>
      </c>
      <c r="C98" s="495"/>
      <c r="D98" s="495"/>
      <c r="E98" s="486"/>
      <c r="F98" s="483">
        <v>517546895</v>
      </c>
      <c r="G98" s="483">
        <v>-3436635</v>
      </c>
      <c r="H98" s="483">
        <v>514110260</v>
      </c>
      <c r="I98" s="483">
        <v>-742547</v>
      </c>
      <c r="J98" s="483">
        <v>513367713</v>
      </c>
      <c r="K98" s="483">
        <v>0</v>
      </c>
      <c r="L98" s="483">
        <v>513367713</v>
      </c>
      <c r="M98" s="483">
        <v>106233645.23</v>
      </c>
      <c r="N98" s="483">
        <v>105007793.17</v>
      </c>
      <c r="O98" s="483">
        <v>2049535.71</v>
      </c>
      <c r="P98" s="453">
        <f>+L98-O98</f>
        <v>511318177.29000002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74" activePane="bottomRight" state="frozen"/>
      <selection activeCell="Q5" sqref="Q5:Q7"/>
      <selection pane="topRight" activeCell="Q5" sqref="Q5:Q7"/>
      <selection pane="bottomLeft" activeCell="Q5" sqref="Q5:Q7"/>
      <selection pane="bottomRight" activeCell="M91" sqref="M9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8" t="s">
        <v>48</v>
      </c>
      <c r="B3" s="501" t="s">
        <v>0</v>
      </c>
      <c r="C3" s="501" t="s">
        <v>1</v>
      </c>
      <c r="D3" s="501"/>
      <c r="E3" s="499" t="s">
        <v>347</v>
      </c>
      <c r="F3" s="493" t="s">
        <v>67</v>
      </c>
      <c r="G3" s="493" t="s">
        <v>50</v>
      </c>
      <c r="H3" s="493" t="s">
        <v>51</v>
      </c>
      <c r="I3" s="493" t="s">
        <v>52</v>
      </c>
      <c r="J3" s="493" t="s">
        <v>53</v>
      </c>
      <c r="K3" s="493" t="s">
        <v>54</v>
      </c>
      <c r="L3" s="493" t="s">
        <v>5</v>
      </c>
      <c r="M3" s="493" t="s">
        <v>12</v>
      </c>
    </row>
    <row r="4" spans="1:13" ht="32.1" customHeight="1" x14ac:dyDescent="0.2">
      <c r="A4" s="498"/>
      <c r="B4" s="501"/>
      <c r="C4" s="501"/>
      <c r="D4" s="501"/>
      <c r="E4" s="500"/>
      <c r="F4" s="494"/>
      <c r="G4" s="494"/>
      <c r="H4" s="494"/>
      <c r="I4" s="494"/>
      <c r="J4" s="494"/>
      <c r="K4" s="494"/>
      <c r="L4" s="494"/>
      <c r="M4" s="494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1953622.81</v>
      </c>
      <c r="G5" s="478">
        <v>1953622.81</v>
      </c>
      <c r="H5" s="478">
        <v>0</v>
      </c>
      <c r="I5" s="478">
        <v>1953622.81</v>
      </c>
      <c r="J5" s="478">
        <v>0</v>
      </c>
      <c r="K5" s="478">
        <v>1953622.81</v>
      </c>
      <c r="L5" s="478">
        <v>0</v>
      </c>
      <c r="M5" s="478"/>
    </row>
    <row r="6" spans="1:13" ht="20.100000000000001" customHeight="1" x14ac:dyDescent="0.2">
      <c r="A6" s="410" t="str">
        <f t="shared" ref="A6:A70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343720.01</v>
      </c>
      <c r="G6" s="482">
        <v>343720.01</v>
      </c>
      <c r="H6" s="482">
        <v>0</v>
      </c>
      <c r="I6" s="482">
        <v>343720.01</v>
      </c>
      <c r="J6" s="482">
        <v>0</v>
      </c>
      <c r="K6" s="482">
        <v>343720.01</v>
      </c>
      <c r="L6" s="482">
        <v>0</v>
      </c>
      <c r="M6" s="482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167344.37</v>
      </c>
      <c r="G7" s="478">
        <v>167344.37</v>
      </c>
      <c r="H7" s="478">
        <v>0</v>
      </c>
      <c r="I7" s="478">
        <v>167344.37</v>
      </c>
      <c r="J7" s="478">
        <v>0</v>
      </c>
      <c r="K7" s="478">
        <v>167344.37</v>
      </c>
      <c r="L7" s="478">
        <v>0</v>
      </c>
      <c r="M7" s="478"/>
    </row>
    <row r="8" spans="1:13" ht="20.100000000000001" customHeight="1" x14ac:dyDescent="0.2">
      <c r="A8" s="410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2">
        <v>1200</v>
      </c>
      <c r="G8" s="482">
        <v>1200</v>
      </c>
      <c r="H8" s="482">
        <v>0</v>
      </c>
      <c r="I8" s="482">
        <v>1200</v>
      </c>
      <c r="J8" s="482">
        <v>0</v>
      </c>
      <c r="K8" s="482">
        <v>1200</v>
      </c>
      <c r="L8" s="482">
        <v>0</v>
      </c>
      <c r="M8" s="482"/>
    </row>
    <row r="9" spans="1:13" ht="20.100000000000001" customHeight="1" x14ac:dyDescent="0.2">
      <c r="A9" s="410" t="str">
        <f t="shared" si="0"/>
        <v>128805-3-142</v>
      </c>
      <c r="B9" s="475">
        <v>128805</v>
      </c>
      <c r="C9" s="476">
        <v>3</v>
      </c>
      <c r="D9" s="477" t="s">
        <v>8</v>
      </c>
      <c r="E9" s="476">
        <v>142</v>
      </c>
      <c r="F9" s="478">
        <v>27126.81</v>
      </c>
      <c r="G9" s="478">
        <v>27126.81</v>
      </c>
      <c r="H9" s="478">
        <v>0</v>
      </c>
      <c r="I9" s="478">
        <v>27126.81</v>
      </c>
      <c r="J9" s="478">
        <v>0</v>
      </c>
      <c r="K9" s="478">
        <v>27126.81</v>
      </c>
      <c r="L9" s="478">
        <v>0</v>
      </c>
      <c r="M9" s="478"/>
    </row>
    <row r="10" spans="1:13" ht="20.100000000000001" customHeight="1" x14ac:dyDescent="0.2">
      <c r="A10" s="410" t="str">
        <f t="shared" si="0"/>
        <v>128809-3-142</v>
      </c>
      <c r="B10" s="479">
        <v>128809</v>
      </c>
      <c r="C10" s="480">
        <v>3</v>
      </c>
      <c r="D10" s="481" t="s">
        <v>8</v>
      </c>
      <c r="E10" s="480">
        <v>142</v>
      </c>
      <c r="F10" s="482">
        <v>25557.87</v>
      </c>
      <c r="G10" s="482">
        <v>25557.87</v>
      </c>
      <c r="H10" s="482">
        <v>0</v>
      </c>
      <c r="I10" s="482">
        <v>25557.87</v>
      </c>
      <c r="J10" s="482">
        <v>0</v>
      </c>
      <c r="K10" s="482">
        <v>25557.87</v>
      </c>
      <c r="L10" s="482">
        <v>0</v>
      </c>
      <c r="M10" s="482"/>
    </row>
    <row r="11" spans="1:13" ht="20.100000000000001" customHeight="1" x14ac:dyDescent="0.2">
      <c r="A11" s="410" t="str">
        <f t="shared" si="0"/>
        <v>128811-3-142</v>
      </c>
      <c r="B11" s="475">
        <v>128811</v>
      </c>
      <c r="C11" s="476">
        <v>3</v>
      </c>
      <c r="D11" s="477" t="s">
        <v>8</v>
      </c>
      <c r="E11" s="476">
        <v>142</v>
      </c>
      <c r="F11" s="478">
        <v>69880.08</v>
      </c>
      <c r="G11" s="478">
        <v>69880.08</v>
      </c>
      <c r="H11" s="478">
        <v>0</v>
      </c>
      <c r="I11" s="478">
        <v>69880.08</v>
      </c>
      <c r="J11" s="478">
        <v>0</v>
      </c>
      <c r="K11" s="478">
        <v>69880.08</v>
      </c>
      <c r="L11" s="478">
        <v>0</v>
      </c>
      <c r="M11" s="478"/>
    </row>
    <row r="12" spans="1:13" ht="20.100000000000001" customHeight="1" x14ac:dyDescent="0.2">
      <c r="A12" s="410" t="str">
        <f t="shared" si="0"/>
        <v>139605-3-151</v>
      </c>
      <c r="B12" s="479">
        <v>139605</v>
      </c>
      <c r="C12" s="480">
        <v>3</v>
      </c>
      <c r="D12" s="481" t="s">
        <v>8</v>
      </c>
      <c r="E12" s="480">
        <v>151</v>
      </c>
      <c r="F12" s="482">
        <v>221969.09</v>
      </c>
      <c r="G12" s="482">
        <v>221969.09</v>
      </c>
      <c r="H12" s="482">
        <v>8486.52</v>
      </c>
      <c r="I12" s="482">
        <v>213482.57</v>
      </c>
      <c r="J12" s="482">
        <v>0</v>
      </c>
      <c r="K12" s="482">
        <v>213482.57</v>
      </c>
      <c r="L12" s="482">
        <v>0</v>
      </c>
      <c r="M12" s="482"/>
    </row>
    <row r="13" spans="1:13" ht="20.100000000000001" customHeight="1" x14ac:dyDescent="0.2">
      <c r="A13" s="410" t="str">
        <f t="shared" si="0"/>
        <v>174222-1-100</v>
      </c>
      <c r="B13" s="475">
        <v>174222</v>
      </c>
      <c r="C13" s="476">
        <v>1</v>
      </c>
      <c r="D13" s="477" t="s">
        <v>11</v>
      </c>
      <c r="E13" s="476">
        <v>100</v>
      </c>
      <c r="F13" s="478">
        <v>257395931.94</v>
      </c>
      <c r="G13" s="478">
        <v>256021299.15000001</v>
      </c>
      <c r="H13" s="478">
        <v>1273884.68</v>
      </c>
      <c r="I13" s="478">
        <v>254747414.47</v>
      </c>
      <c r="J13" s="478">
        <v>7960107.5599999996</v>
      </c>
      <c r="K13" s="478">
        <v>246787306.91</v>
      </c>
      <c r="L13" s="478">
        <v>1374632.79</v>
      </c>
      <c r="M13" s="478"/>
    </row>
    <row r="14" spans="1:13" ht="20.100000000000001" customHeight="1" x14ac:dyDescent="0.2">
      <c r="A14" s="410" t="str">
        <f t="shared" si="0"/>
        <v>174224-3-151</v>
      </c>
      <c r="B14" s="479">
        <v>174224</v>
      </c>
      <c r="C14" s="480">
        <v>3</v>
      </c>
      <c r="D14" s="481" t="s">
        <v>8</v>
      </c>
      <c r="E14" s="480">
        <v>151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482">
        <v>0</v>
      </c>
      <c r="M14" s="482"/>
    </row>
    <row r="15" spans="1:13" ht="20.100000000000001" customHeight="1" x14ac:dyDescent="0.2">
      <c r="A15" s="410" t="str">
        <f t="shared" si="0"/>
        <v>174224-3-188</v>
      </c>
      <c r="B15" s="475">
        <v>174224</v>
      </c>
      <c r="C15" s="476">
        <v>3</v>
      </c>
      <c r="D15" s="477" t="s">
        <v>8</v>
      </c>
      <c r="E15" s="476">
        <v>188</v>
      </c>
      <c r="F15" s="478">
        <v>21618362.5</v>
      </c>
      <c r="G15" s="478">
        <v>21603386.280000001</v>
      </c>
      <c r="H15" s="478">
        <v>6024062.9400000004</v>
      </c>
      <c r="I15" s="478">
        <v>15579323.34</v>
      </c>
      <c r="J15" s="478">
        <v>323391.26</v>
      </c>
      <c r="K15" s="478">
        <v>15255932.08</v>
      </c>
      <c r="L15" s="478">
        <v>14976.22</v>
      </c>
      <c r="M15" s="478"/>
    </row>
    <row r="16" spans="1:13" ht="20.100000000000001" customHeight="1" x14ac:dyDescent="0.2">
      <c r="A16" s="410" t="str">
        <f t="shared" si="0"/>
        <v>174225-3-151</v>
      </c>
      <c r="B16" s="479">
        <v>174225</v>
      </c>
      <c r="C16" s="480">
        <v>3</v>
      </c>
      <c r="D16" s="481" t="s">
        <v>8</v>
      </c>
      <c r="E16" s="480">
        <v>151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/>
    </row>
    <row r="17" spans="1:13" ht="20.100000000000001" customHeight="1" x14ac:dyDescent="0.2">
      <c r="A17" s="410" t="str">
        <f t="shared" si="0"/>
        <v>174225-3-188</v>
      </c>
      <c r="B17" s="475">
        <v>174225</v>
      </c>
      <c r="C17" s="476">
        <v>3</v>
      </c>
      <c r="D17" s="477" t="s">
        <v>8</v>
      </c>
      <c r="E17" s="476">
        <v>188</v>
      </c>
      <c r="F17" s="478">
        <v>573068.07999999996</v>
      </c>
      <c r="G17" s="478">
        <v>494122.94</v>
      </c>
      <c r="H17" s="478">
        <v>84811.74</v>
      </c>
      <c r="I17" s="478">
        <v>409311.2</v>
      </c>
      <c r="J17" s="478">
        <v>6837.1</v>
      </c>
      <c r="K17" s="478">
        <v>402474.1</v>
      </c>
      <c r="L17" s="478">
        <v>78945.14</v>
      </c>
      <c r="M17" s="478"/>
    </row>
    <row r="18" spans="1:13" ht="20.100000000000001" customHeight="1" x14ac:dyDescent="0.2">
      <c r="A18" s="410" t="str">
        <f t="shared" si="0"/>
        <v>174230-3-142</v>
      </c>
      <c r="B18" s="479">
        <v>174230</v>
      </c>
      <c r="C18" s="480">
        <v>3</v>
      </c>
      <c r="D18" s="481" t="s">
        <v>8</v>
      </c>
      <c r="E18" s="480">
        <v>142</v>
      </c>
      <c r="F18" s="482">
        <v>273739.64</v>
      </c>
      <c r="G18" s="482">
        <v>168248.86</v>
      </c>
      <c r="H18" s="482">
        <v>29517.4</v>
      </c>
      <c r="I18" s="482">
        <v>138731.46</v>
      </c>
      <c r="J18" s="482">
        <v>13.32</v>
      </c>
      <c r="K18" s="482">
        <v>138718.14000000001</v>
      </c>
      <c r="L18" s="482">
        <v>105490.78</v>
      </c>
      <c r="M18" s="482"/>
    </row>
    <row r="19" spans="1:13" ht="20.100000000000001" customHeight="1" x14ac:dyDescent="0.2">
      <c r="A19" s="410" t="str">
        <f t="shared" si="0"/>
        <v>174231-3-142</v>
      </c>
      <c r="B19" s="475">
        <v>174231</v>
      </c>
      <c r="C19" s="476">
        <v>3</v>
      </c>
      <c r="D19" s="477" t="s">
        <v>8</v>
      </c>
      <c r="E19" s="476">
        <v>142</v>
      </c>
      <c r="F19" s="478">
        <v>469874.61</v>
      </c>
      <c r="G19" s="478">
        <v>441149.05</v>
      </c>
      <c r="H19" s="478">
        <v>82800.13</v>
      </c>
      <c r="I19" s="478">
        <v>358348.92</v>
      </c>
      <c r="J19" s="478">
        <v>5135.42</v>
      </c>
      <c r="K19" s="478">
        <v>353213.5</v>
      </c>
      <c r="L19" s="478">
        <v>28725.56</v>
      </c>
      <c r="M19" s="478"/>
    </row>
    <row r="20" spans="1:13" ht="20.100000000000001" customHeight="1" x14ac:dyDescent="0.2">
      <c r="A20" s="410" t="str">
        <f t="shared" si="0"/>
        <v>174231-4-142</v>
      </c>
      <c r="B20" s="479">
        <v>174231</v>
      </c>
      <c r="C20" s="480">
        <v>4</v>
      </c>
      <c r="D20" s="481" t="s">
        <v>7</v>
      </c>
      <c r="E20" s="480">
        <v>142</v>
      </c>
      <c r="F20" s="482">
        <v>281210.06</v>
      </c>
      <c r="G20" s="482">
        <v>280949</v>
      </c>
      <c r="H20" s="482">
        <v>0</v>
      </c>
      <c r="I20" s="482">
        <v>280949</v>
      </c>
      <c r="J20" s="482">
        <v>15324.48</v>
      </c>
      <c r="K20" s="482">
        <v>265624.52</v>
      </c>
      <c r="L20" s="482">
        <v>261.06</v>
      </c>
      <c r="M20" s="482"/>
    </row>
    <row r="21" spans="1:13" ht="20.100000000000001" customHeight="1" x14ac:dyDescent="0.2">
      <c r="A21" s="410" t="str">
        <f t="shared" si="0"/>
        <v>174232-3-100</v>
      </c>
      <c r="B21" s="475">
        <v>174232</v>
      </c>
      <c r="C21" s="476">
        <v>3</v>
      </c>
      <c r="D21" s="477" t="s">
        <v>8</v>
      </c>
      <c r="E21" s="476">
        <v>100</v>
      </c>
      <c r="F21" s="478">
        <v>3950000</v>
      </c>
      <c r="G21" s="478">
        <v>3950000</v>
      </c>
      <c r="H21" s="478">
        <v>3950000</v>
      </c>
      <c r="I21" s="478"/>
      <c r="J21" s="478"/>
      <c r="K21" s="478"/>
      <c r="L21" s="478">
        <v>0</v>
      </c>
      <c r="M21" s="478"/>
    </row>
    <row r="22" spans="1:13" ht="20.100000000000001" customHeight="1" x14ac:dyDescent="0.2">
      <c r="A22" s="410" t="str">
        <f t="shared" si="0"/>
        <v>174232-3-142</v>
      </c>
      <c r="B22" s="479">
        <v>174232</v>
      </c>
      <c r="C22" s="480">
        <v>3</v>
      </c>
      <c r="D22" s="481" t="s">
        <v>8</v>
      </c>
      <c r="E22" s="480">
        <v>142</v>
      </c>
      <c r="F22" s="482">
        <v>28474792.77</v>
      </c>
      <c r="G22" s="482">
        <v>27927456.390000001</v>
      </c>
      <c r="H22" s="482">
        <v>9834432.3800000008</v>
      </c>
      <c r="I22" s="482">
        <v>18093024.010000002</v>
      </c>
      <c r="J22" s="482">
        <v>659589.19999999995</v>
      </c>
      <c r="K22" s="482">
        <v>17433434.809999999</v>
      </c>
      <c r="L22" s="482">
        <v>880258.33</v>
      </c>
      <c r="M22" s="482">
        <v>0</v>
      </c>
    </row>
    <row r="23" spans="1:13" ht="20.100000000000001" customHeight="1" x14ac:dyDescent="0.2">
      <c r="A23" s="410" t="str">
        <f t="shared" si="0"/>
        <v>174232-4-142</v>
      </c>
      <c r="B23" s="475">
        <v>174232</v>
      </c>
      <c r="C23" s="476">
        <v>4</v>
      </c>
      <c r="D23" s="477" t="s">
        <v>7</v>
      </c>
      <c r="E23" s="476">
        <v>142</v>
      </c>
      <c r="F23" s="478">
        <v>792192.77</v>
      </c>
      <c r="G23" s="478">
        <v>750300.77</v>
      </c>
      <c r="H23" s="478">
        <v>505552.88</v>
      </c>
      <c r="I23" s="478">
        <v>244747.89</v>
      </c>
      <c r="J23" s="478">
        <v>1252.3699999999999</v>
      </c>
      <c r="K23" s="478">
        <v>243495.52</v>
      </c>
      <c r="L23" s="478">
        <v>41892</v>
      </c>
      <c r="M23" s="478"/>
    </row>
    <row r="24" spans="1:13" ht="20.100000000000001" customHeight="1" x14ac:dyDescent="0.2">
      <c r="A24" s="410" t="str">
        <f t="shared" si="0"/>
        <v>174233-3-142</v>
      </c>
      <c r="B24" s="479">
        <v>174233</v>
      </c>
      <c r="C24" s="480">
        <v>3</v>
      </c>
      <c r="D24" s="481" t="s">
        <v>8</v>
      </c>
      <c r="E24" s="480">
        <v>142</v>
      </c>
      <c r="F24" s="482">
        <v>199895.5</v>
      </c>
      <c r="G24" s="482">
        <v>199846.69</v>
      </c>
      <c r="H24" s="482">
        <v>0</v>
      </c>
      <c r="I24" s="482">
        <v>199846.69</v>
      </c>
      <c r="J24" s="482">
        <v>0.01</v>
      </c>
      <c r="K24" s="482">
        <v>199846.68</v>
      </c>
      <c r="L24" s="482">
        <v>48.81</v>
      </c>
      <c r="M24" s="482"/>
    </row>
    <row r="25" spans="1:13" ht="20.100000000000001" customHeight="1" x14ac:dyDescent="0.2">
      <c r="A25" s="410" t="str">
        <f t="shared" si="0"/>
        <v>174233-4-142</v>
      </c>
      <c r="B25" s="475">
        <v>174233</v>
      </c>
      <c r="C25" s="476">
        <v>4</v>
      </c>
      <c r="D25" s="477" t="s">
        <v>7</v>
      </c>
      <c r="E25" s="476">
        <v>142</v>
      </c>
      <c r="F25" s="478">
        <v>148310.16</v>
      </c>
      <c r="G25" s="478">
        <v>147900.16</v>
      </c>
      <c r="H25" s="478">
        <v>0</v>
      </c>
      <c r="I25" s="478">
        <v>147900.16</v>
      </c>
      <c r="J25" s="478">
        <v>0</v>
      </c>
      <c r="K25" s="478">
        <v>147900.16</v>
      </c>
      <c r="L25" s="478">
        <v>410</v>
      </c>
      <c r="M25" s="478"/>
    </row>
    <row r="26" spans="1:13" ht="20.100000000000001" customHeight="1" x14ac:dyDescent="0.2">
      <c r="A26" s="410" t="str">
        <f t="shared" si="0"/>
        <v>174234-3-142</v>
      </c>
      <c r="B26" s="479">
        <v>174234</v>
      </c>
      <c r="C26" s="480">
        <v>3</v>
      </c>
      <c r="D26" s="481" t="s">
        <v>8</v>
      </c>
      <c r="E26" s="480">
        <v>142</v>
      </c>
      <c r="F26" s="482">
        <v>1000000</v>
      </c>
      <c r="G26" s="482">
        <v>985945.94</v>
      </c>
      <c r="H26" s="482">
        <v>584437.97</v>
      </c>
      <c r="I26" s="482">
        <v>401507.97</v>
      </c>
      <c r="J26" s="482">
        <v>6941.87</v>
      </c>
      <c r="K26" s="482">
        <v>394566.1</v>
      </c>
      <c r="L26" s="482">
        <v>14054.06</v>
      </c>
      <c r="M26" s="482"/>
    </row>
    <row r="27" spans="1:13" ht="20.100000000000001" customHeight="1" x14ac:dyDescent="0.2">
      <c r="A27" s="410" t="str">
        <f t="shared" si="0"/>
        <v>174234-4-142</v>
      </c>
      <c r="B27" s="475">
        <v>174234</v>
      </c>
      <c r="C27" s="476">
        <v>4</v>
      </c>
      <c r="D27" s="477" t="s">
        <v>7</v>
      </c>
      <c r="E27" s="476">
        <v>142</v>
      </c>
      <c r="F27" s="478">
        <v>983314.62</v>
      </c>
      <c r="G27" s="478">
        <v>971275</v>
      </c>
      <c r="H27" s="478">
        <v>167296</v>
      </c>
      <c r="I27" s="478">
        <v>803979</v>
      </c>
      <c r="J27" s="478">
        <v>19948.5</v>
      </c>
      <c r="K27" s="478">
        <v>784030.5</v>
      </c>
      <c r="L27" s="478">
        <v>12039.62</v>
      </c>
      <c r="M27" s="478"/>
    </row>
    <row r="28" spans="1:13" ht="20.100000000000001" customHeight="1" x14ac:dyDescent="0.2">
      <c r="A28" s="410" t="str">
        <f t="shared" si="0"/>
        <v>174235-3-142</v>
      </c>
      <c r="B28" s="479">
        <v>174235</v>
      </c>
      <c r="C28" s="480">
        <v>3</v>
      </c>
      <c r="D28" s="481" t="s">
        <v>8</v>
      </c>
      <c r="E28" s="480">
        <v>142</v>
      </c>
      <c r="F28" s="482">
        <v>162861.35</v>
      </c>
      <c r="G28" s="482">
        <v>144037.25</v>
      </c>
      <c r="H28" s="482">
        <v>23770.82</v>
      </c>
      <c r="I28" s="482">
        <v>120266.43</v>
      </c>
      <c r="J28" s="482">
        <v>3474.27</v>
      </c>
      <c r="K28" s="482">
        <v>116792.16</v>
      </c>
      <c r="L28" s="482">
        <v>18824.099999999999</v>
      </c>
      <c r="M28" s="482"/>
    </row>
    <row r="29" spans="1:13" ht="20.100000000000001" customHeight="1" x14ac:dyDescent="0.2">
      <c r="A29" s="410" t="str">
        <f t="shared" si="0"/>
        <v>174236-3-142</v>
      </c>
      <c r="B29" s="475">
        <v>174236</v>
      </c>
      <c r="C29" s="476">
        <v>3</v>
      </c>
      <c r="D29" s="477" t="s">
        <v>8</v>
      </c>
      <c r="E29" s="476">
        <v>142</v>
      </c>
      <c r="F29" s="478">
        <v>151939.95000000001</v>
      </c>
      <c r="G29" s="478">
        <v>143098.23000000001</v>
      </c>
      <c r="H29" s="478">
        <v>49469.98</v>
      </c>
      <c r="I29" s="478">
        <v>93628.25</v>
      </c>
      <c r="J29" s="478">
        <v>1385.65</v>
      </c>
      <c r="K29" s="478">
        <v>92242.6</v>
      </c>
      <c r="L29" s="478">
        <v>8841.7199999999993</v>
      </c>
      <c r="M29" s="478"/>
    </row>
    <row r="30" spans="1:13" ht="20.100000000000001" customHeight="1" x14ac:dyDescent="0.2">
      <c r="A30" s="410" t="str">
        <f t="shared" si="0"/>
        <v>174236-4-142</v>
      </c>
      <c r="B30" s="479">
        <v>174236</v>
      </c>
      <c r="C30" s="480">
        <v>4</v>
      </c>
      <c r="D30" s="481" t="s">
        <v>7</v>
      </c>
      <c r="E30" s="480">
        <v>142</v>
      </c>
      <c r="F30" s="482">
        <v>1386</v>
      </c>
      <c r="G30" s="482">
        <v>0</v>
      </c>
      <c r="H30" s="482">
        <v>0</v>
      </c>
      <c r="I30" s="482"/>
      <c r="J30" s="482"/>
      <c r="K30" s="482"/>
      <c r="L30" s="482">
        <v>1386</v>
      </c>
      <c r="M30" s="482"/>
    </row>
    <row r="31" spans="1:13" ht="20.100000000000001" customHeight="1" x14ac:dyDescent="0.2">
      <c r="A31" s="410" t="str">
        <f t="shared" si="0"/>
        <v>174237-3-142</v>
      </c>
      <c r="B31" s="475">
        <v>174237</v>
      </c>
      <c r="C31" s="476">
        <v>3</v>
      </c>
      <c r="D31" s="477" t="s">
        <v>8</v>
      </c>
      <c r="E31" s="476">
        <v>142</v>
      </c>
      <c r="F31" s="478">
        <v>851171.25</v>
      </c>
      <c r="G31" s="478">
        <v>922838.54</v>
      </c>
      <c r="H31" s="478">
        <v>132771.60999999999</v>
      </c>
      <c r="I31" s="478">
        <v>790066.93</v>
      </c>
      <c r="J31" s="478">
        <v>11994.9</v>
      </c>
      <c r="K31" s="478">
        <v>778072.03</v>
      </c>
      <c r="L31" s="478">
        <v>202032.71</v>
      </c>
      <c r="M31" s="478"/>
    </row>
    <row r="32" spans="1:13" ht="20.100000000000001" customHeight="1" x14ac:dyDescent="0.2">
      <c r="A32" s="410" t="str">
        <f t="shared" si="0"/>
        <v>174237-4-142</v>
      </c>
      <c r="B32" s="479">
        <v>174237</v>
      </c>
      <c r="C32" s="480">
        <v>4</v>
      </c>
      <c r="D32" s="481" t="s">
        <v>7</v>
      </c>
      <c r="E32" s="480">
        <v>142</v>
      </c>
      <c r="F32" s="482">
        <v>145000</v>
      </c>
      <c r="G32" s="482">
        <v>145000</v>
      </c>
      <c r="H32" s="482">
        <v>145000</v>
      </c>
      <c r="I32" s="482"/>
      <c r="J32" s="482"/>
      <c r="K32" s="482"/>
      <c r="L32" s="482">
        <v>0</v>
      </c>
      <c r="M32" s="482"/>
    </row>
    <row r="33" spans="1:13" ht="20.100000000000001" customHeight="1" x14ac:dyDescent="0.2">
      <c r="A33" s="410" t="str">
        <f t="shared" si="0"/>
        <v>174238-3-142</v>
      </c>
      <c r="B33" s="475">
        <v>174238</v>
      </c>
      <c r="C33" s="476">
        <v>3</v>
      </c>
      <c r="D33" s="477" t="s">
        <v>8</v>
      </c>
      <c r="E33" s="476">
        <v>142</v>
      </c>
      <c r="F33" s="478">
        <v>166279.73000000001</v>
      </c>
      <c r="G33" s="478">
        <v>138623.75</v>
      </c>
      <c r="H33" s="478">
        <v>14882.57</v>
      </c>
      <c r="I33" s="478">
        <v>123741.18</v>
      </c>
      <c r="J33" s="478">
        <v>495.53</v>
      </c>
      <c r="K33" s="478">
        <v>123245.65</v>
      </c>
      <c r="L33" s="478">
        <v>27655.98</v>
      </c>
      <c r="M33" s="478"/>
    </row>
    <row r="34" spans="1:13" ht="20.100000000000001" customHeight="1" x14ac:dyDescent="0.2">
      <c r="A34" s="410" t="str">
        <f t="shared" si="0"/>
        <v>174239-3-142</v>
      </c>
      <c r="B34" s="479">
        <v>174239</v>
      </c>
      <c r="C34" s="480">
        <v>3</v>
      </c>
      <c r="D34" s="481" t="s">
        <v>8</v>
      </c>
      <c r="E34" s="480">
        <v>142</v>
      </c>
      <c r="F34" s="482">
        <v>5692518</v>
      </c>
      <c r="G34" s="482">
        <v>5097824.55</v>
      </c>
      <c r="H34" s="482">
        <v>1860391.69</v>
      </c>
      <c r="I34" s="482">
        <v>3237432.86</v>
      </c>
      <c r="J34" s="482">
        <v>132030.5</v>
      </c>
      <c r="K34" s="482">
        <v>3105402.36</v>
      </c>
      <c r="L34" s="482">
        <v>594693.44999999995</v>
      </c>
      <c r="M34" s="482"/>
    </row>
    <row r="35" spans="1:13" ht="20.100000000000001" customHeight="1" x14ac:dyDescent="0.2">
      <c r="A35" s="410" t="str">
        <f t="shared" si="0"/>
        <v>174239-4-142</v>
      </c>
      <c r="B35" s="475">
        <v>174239</v>
      </c>
      <c r="C35" s="476">
        <v>4</v>
      </c>
      <c r="D35" s="477" t="s">
        <v>7</v>
      </c>
      <c r="E35" s="476">
        <v>142</v>
      </c>
      <c r="F35" s="478">
        <v>981448.55</v>
      </c>
      <c r="G35" s="478">
        <v>791814.23</v>
      </c>
      <c r="H35" s="478">
        <v>776252.68</v>
      </c>
      <c r="I35" s="478">
        <v>15561.55</v>
      </c>
      <c r="J35" s="478">
        <v>0</v>
      </c>
      <c r="K35" s="478">
        <v>15561.55</v>
      </c>
      <c r="L35" s="478">
        <v>189634.32</v>
      </c>
      <c r="M35" s="478"/>
    </row>
    <row r="36" spans="1:13" ht="20.100000000000001" customHeight="1" x14ac:dyDescent="0.2">
      <c r="A36" s="410" t="str">
        <f t="shared" si="0"/>
        <v>174239-3-150</v>
      </c>
      <c r="B36" s="479">
        <v>174239</v>
      </c>
      <c r="C36" s="480">
        <v>3</v>
      </c>
      <c r="D36" s="481" t="s">
        <v>8</v>
      </c>
      <c r="E36" s="480">
        <v>150</v>
      </c>
      <c r="F36" s="482">
        <v>1756065.96</v>
      </c>
      <c r="G36" s="482">
        <v>1746983.66</v>
      </c>
      <c r="H36" s="482">
        <v>909639.3</v>
      </c>
      <c r="I36" s="482">
        <v>837344.36</v>
      </c>
      <c r="J36" s="482">
        <v>70762.42</v>
      </c>
      <c r="K36" s="482">
        <v>766581.94</v>
      </c>
      <c r="L36" s="482">
        <v>9082.2999999999993</v>
      </c>
      <c r="M36" s="482"/>
    </row>
    <row r="37" spans="1:13" ht="20.100000000000001" customHeight="1" x14ac:dyDescent="0.2">
      <c r="A37" s="410" t="str">
        <f t="shared" si="0"/>
        <v>174240-3-142</v>
      </c>
      <c r="B37" s="475">
        <v>174240</v>
      </c>
      <c r="C37" s="476">
        <v>3</v>
      </c>
      <c r="D37" s="477" t="s">
        <v>8</v>
      </c>
      <c r="E37" s="476">
        <v>142</v>
      </c>
      <c r="F37" s="478">
        <v>384317.07</v>
      </c>
      <c r="G37" s="478">
        <v>377325.28</v>
      </c>
      <c r="H37" s="478">
        <v>77351.31</v>
      </c>
      <c r="I37" s="478">
        <v>299973.96999999997</v>
      </c>
      <c r="J37" s="478">
        <v>6398.69</v>
      </c>
      <c r="K37" s="478">
        <v>293575.28000000003</v>
      </c>
      <c r="L37" s="478">
        <v>6991.79</v>
      </c>
      <c r="M37" s="478"/>
    </row>
    <row r="38" spans="1:13" ht="20.100000000000001" customHeight="1" x14ac:dyDescent="0.2">
      <c r="A38" s="410" t="str">
        <f t="shared" si="0"/>
        <v>174240-4-142</v>
      </c>
      <c r="B38" s="479">
        <v>174240</v>
      </c>
      <c r="C38" s="480">
        <v>4</v>
      </c>
      <c r="D38" s="481" t="s">
        <v>7</v>
      </c>
      <c r="E38" s="480">
        <v>142</v>
      </c>
      <c r="F38" s="482">
        <v>890871</v>
      </c>
      <c r="G38" s="482">
        <v>890871</v>
      </c>
      <c r="H38" s="482">
        <v>24000</v>
      </c>
      <c r="I38" s="482">
        <v>866871</v>
      </c>
      <c r="J38" s="482">
        <v>5011.22</v>
      </c>
      <c r="K38" s="482">
        <v>861859.78</v>
      </c>
      <c r="L38" s="482">
        <v>0</v>
      </c>
      <c r="M38" s="482"/>
    </row>
    <row r="39" spans="1:13" ht="20.100000000000001" customHeight="1" x14ac:dyDescent="0.2">
      <c r="A39" s="410" t="str">
        <f t="shared" si="0"/>
        <v>174241-3-142</v>
      </c>
      <c r="B39" s="475">
        <v>174241</v>
      </c>
      <c r="C39" s="476">
        <v>3</v>
      </c>
      <c r="D39" s="477" t="s">
        <v>8</v>
      </c>
      <c r="E39" s="476">
        <v>142</v>
      </c>
      <c r="F39" s="478">
        <v>2287183.8199999998</v>
      </c>
      <c r="G39" s="478">
        <v>2226985.5499999998</v>
      </c>
      <c r="H39" s="478">
        <v>659482.38</v>
      </c>
      <c r="I39" s="478">
        <v>1567503.17</v>
      </c>
      <c r="J39" s="478">
        <v>39638.97</v>
      </c>
      <c r="K39" s="478">
        <v>1527864.2</v>
      </c>
      <c r="L39" s="478">
        <v>60198.27</v>
      </c>
      <c r="M39" s="478"/>
    </row>
    <row r="40" spans="1:13" ht="20.100000000000001" customHeight="1" x14ac:dyDescent="0.2">
      <c r="A40" s="410" t="str">
        <f t="shared" si="0"/>
        <v>174241-4-142</v>
      </c>
      <c r="B40" s="479">
        <v>174241</v>
      </c>
      <c r="C40" s="480">
        <v>4</v>
      </c>
      <c r="D40" s="481" t="s">
        <v>7</v>
      </c>
      <c r="E40" s="480">
        <v>142</v>
      </c>
      <c r="F40" s="482">
        <v>655343.43999999994</v>
      </c>
      <c r="G40" s="482">
        <v>655343.43999999994</v>
      </c>
      <c r="H40" s="482">
        <v>330000</v>
      </c>
      <c r="I40" s="482">
        <v>325343.44</v>
      </c>
      <c r="J40" s="482">
        <v>13719.44</v>
      </c>
      <c r="K40" s="482">
        <v>311624</v>
      </c>
      <c r="L40" s="482">
        <v>0</v>
      </c>
      <c r="M40" s="482"/>
    </row>
    <row r="41" spans="1:13" ht="20.100000000000001" customHeight="1" x14ac:dyDescent="0.2">
      <c r="A41" s="410" t="str">
        <f t="shared" si="0"/>
        <v>174242-3-142</v>
      </c>
      <c r="B41" s="475">
        <v>174242</v>
      </c>
      <c r="C41" s="476">
        <v>3</v>
      </c>
      <c r="D41" s="477" t="s">
        <v>8</v>
      </c>
      <c r="E41" s="476">
        <v>142</v>
      </c>
      <c r="F41" s="478">
        <v>3409231.7</v>
      </c>
      <c r="G41" s="478">
        <v>3350869</v>
      </c>
      <c r="H41" s="478">
        <v>983715.56</v>
      </c>
      <c r="I41" s="478">
        <v>2367153.44</v>
      </c>
      <c r="J41" s="478">
        <v>69291.03</v>
      </c>
      <c r="K41" s="478">
        <v>2297862.41</v>
      </c>
      <c r="L41" s="478">
        <v>58362.7</v>
      </c>
      <c r="M41" s="478"/>
    </row>
    <row r="42" spans="1:13" ht="20.100000000000001" customHeight="1" x14ac:dyDescent="0.2">
      <c r="A42" s="410" t="str">
        <f t="shared" si="0"/>
        <v>174242-4-142</v>
      </c>
      <c r="B42" s="479">
        <v>174242</v>
      </c>
      <c r="C42" s="480">
        <v>4</v>
      </c>
      <c r="D42" s="481" t="s">
        <v>7</v>
      </c>
      <c r="E42" s="480">
        <v>142</v>
      </c>
      <c r="F42" s="482">
        <v>1409120.29</v>
      </c>
      <c r="G42" s="482">
        <v>1316959.25</v>
      </c>
      <c r="H42" s="482">
        <v>56295</v>
      </c>
      <c r="I42" s="482">
        <v>1260664.25</v>
      </c>
      <c r="J42" s="482">
        <v>12346.64</v>
      </c>
      <c r="K42" s="482">
        <v>1248317.6100000001</v>
      </c>
      <c r="L42" s="482">
        <v>92161.04</v>
      </c>
      <c r="M42" s="482"/>
    </row>
    <row r="43" spans="1:13" ht="20.100000000000001" customHeight="1" x14ac:dyDescent="0.2">
      <c r="A43" s="410" t="str">
        <f t="shared" si="0"/>
        <v>174243-3-142</v>
      </c>
      <c r="B43" s="475">
        <v>174243</v>
      </c>
      <c r="C43" s="476">
        <v>3</v>
      </c>
      <c r="D43" s="477" t="s">
        <v>8</v>
      </c>
      <c r="E43" s="476">
        <v>142</v>
      </c>
      <c r="F43" s="478">
        <v>164447.87</v>
      </c>
      <c r="G43" s="478">
        <v>161892.4</v>
      </c>
      <c r="H43" s="478">
        <v>30915.47</v>
      </c>
      <c r="I43" s="478">
        <v>130976.93</v>
      </c>
      <c r="J43" s="478">
        <v>0</v>
      </c>
      <c r="K43" s="478">
        <v>130976.93</v>
      </c>
      <c r="L43" s="478">
        <v>2555.4699999999998</v>
      </c>
      <c r="M43" s="478"/>
    </row>
    <row r="44" spans="1:13" ht="20.100000000000001" customHeight="1" x14ac:dyDescent="0.2">
      <c r="A44" s="410" t="str">
        <f t="shared" si="0"/>
        <v>174244-3-142</v>
      </c>
      <c r="B44" s="479">
        <v>174244</v>
      </c>
      <c r="C44" s="480">
        <v>3</v>
      </c>
      <c r="D44" s="481" t="s">
        <v>8</v>
      </c>
      <c r="E44" s="480">
        <v>142</v>
      </c>
      <c r="F44" s="482">
        <v>195011.48</v>
      </c>
      <c r="G44" s="482">
        <v>195011.48</v>
      </c>
      <c r="H44" s="482">
        <v>164130.4</v>
      </c>
      <c r="I44" s="482">
        <v>30881.08</v>
      </c>
      <c r="J44" s="482">
        <v>0</v>
      </c>
      <c r="K44" s="482">
        <v>30881.08</v>
      </c>
      <c r="L44" s="482">
        <v>0</v>
      </c>
      <c r="M44" s="482"/>
    </row>
    <row r="45" spans="1:13" ht="20.100000000000001" customHeight="1" x14ac:dyDescent="0.2">
      <c r="A45" s="410" t="str">
        <f t="shared" si="0"/>
        <v>174245-3-142</v>
      </c>
      <c r="B45" s="475">
        <v>174245</v>
      </c>
      <c r="C45" s="476">
        <v>3</v>
      </c>
      <c r="D45" s="477" t="s">
        <v>8</v>
      </c>
      <c r="E45" s="476">
        <v>142</v>
      </c>
      <c r="F45" s="478">
        <v>3539578</v>
      </c>
      <c r="G45" s="478">
        <v>2554913.4900000002</v>
      </c>
      <c r="H45" s="478">
        <v>1604357.37</v>
      </c>
      <c r="I45" s="478">
        <v>950556.12</v>
      </c>
      <c r="J45" s="478">
        <v>44952.86</v>
      </c>
      <c r="K45" s="478">
        <v>905603.26</v>
      </c>
      <c r="L45" s="478">
        <v>984664.51</v>
      </c>
      <c r="M45" s="478"/>
    </row>
    <row r="46" spans="1:13" ht="20.100000000000001" customHeight="1" x14ac:dyDescent="0.2">
      <c r="A46" s="410" t="str">
        <f t="shared" si="0"/>
        <v>174245-4-142</v>
      </c>
      <c r="B46" s="479">
        <v>174245</v>
      </c>
      <c r="C46" s="480">
        <v>4</v>
      </c>
      <c r="D46" s="481" t="s">
        <v>7</v>
      </c>
      <c r="E46" s="480">
        <v>142</v>
      </c>
      <c r="F46" s="482">
        <v>2442831.66</v>
      </c>
      <c r="G46" s="482">
        <v>2420749</v>
      </c>
      <c r="H46" s="482">
        <v>2050478</v>
      </c>
      <c r="I46" s="482">
        <v>370271</v>
      </c>
      <c r="J46" s="482">
        <v>0</v>
      </c>
      <c r="K46" s="482">
        <v>370271</v>
      </c>
      <c r="L46" s="482">
        <v>22082.66</v>
      </c>
      <c r="M46" s="482"/>
    </row>
    <row r="47" spans="1:13" ht="20.100000000000001" customHeight="1" x14ac:dyDescent="0.2">
      <c r="A47" s="410" t="str">
        <f t="shared" si="0"/>
        <v>174246-3-142</v>
      </c>
      <c r="B47" s="475">
        <v>174246</v>
      </c>
      <c r="C47" s="476">
        <v>3</v>
      </c>
      <c r="D47" s="477" t="s">
        <v>8</v>
      </c>
      <c r="E47" s="476">
        <v>142</v>
      </c>
      <c r="F47" s="478">
        <v>247504.43</v>
      </c>
      <c r="G47" s="478">
        <v>243455.25</v>
      </c>
      <c r="H47" s="478">
        <v>230165.87</v>
      </c>
      <c r="I47" s="478">
        <v>13289.38</v>
      </c>
      <c r="J47" s="478">
        <v>0</v>
      </c>
      <c r="K47" s="478">
        <v>13289.38</v>
      </c>
      <c r="L47" s="478">
        <v>4049.18</v>
      </c>
      <c r="M47" s="478"/>
    </row>
    <row r="48" spans="1:13" ht="20.100000000000001" customHeight="1" x14ac:dyDescent="0.2">
      <c r="A48" s="410" t="str">
        <f t="shared" si="0"/>
        <v>174247-3-142</v>
      </c>
      <c r="B48" s="479">
        <v>174247</v>
      </c>
      <c r="C48" s="480">
        <v>3</v>
      </c>
      <c r="D48" s="481" t="s">
        <v>8</v>
      </c>
      <c r="E48" s="480">
        <v>142</v>
      </c>
      <c r="F48" s="482">
        <v>178626.24</v>
      </c>
      <c r="G48" s="482">
        <v>174296.17</v>
      </c>
      <c r="H48" s="482">
        <v>25290</v>
      </c>
      <c r="I48" s="482">
        <v>149006.17000000001</v>
      </c>
      <c r="J48" s="482">
        <v>1911.81</v>
      </c>
      <c r="K48" s="482">
        <v>147094.35999999999</v>
      </c>
      <c r="L48" s="482">
        <v>4330.07</v>
      </c>
      <c r="M48" s="482"/>
    </row>
    <row r="49" spans="1:13" ht="20.100000000000001" customHeight="1" x14ac:dyDescent="0.2">
      <c r="A49" s="410" t="str">
        <f t="shared" si="0"/>
        <v>174249-3-142</v>
      </c>
      <c r="B49" s="475">
        <v>174249</v>
      </c>
      <c r="C49" s="476">
        <v>3</v>
      </c>
      <c r="D49" s="477" t="s">
        <v>8</v>
      </c>
      <c r="E49" s="476">
        <v>142</v>
      </c>
      <c r="F49" s="478">
        <v>465667.73</v>
      </c>
      <c r="G49" s="478">
        <v>412116.1</v>
      </c>
      <c r="H49" s="478">
        <v>133087.01</v>
      </c>
      <c r="I49" s="478">
        <v>279029.09000000003</v>
      </c>
      <c r="J49" s="478">
        <v>2900.17</v>
      </c>
      <c r="K49" s="478">
        <v>276128.92</v>
      </c>
      <c r="L49" s="478">
        <v>53551.63</v>
      </c>
      <c r="M49" s="478"/>
    </row>
    <row r="50" spans="1:13" ht="20.100000000000001" customHeight="1" x14ac:dyDescent="0.2">
      <c r="A50" s="410" t="str">
        <f t="shared" si="0"/>
        <v>174249-4-142</v>
      </c>
      <c r="B50" s="479">
        <v>174249</v>
      </c>
      <c r="C50" s="480">
        <v>4</v>
      </c>
      <c r="D50" s="481" t="s">
        <v>7</v>
      </c>
      <c r="E50" s="480">
        <v>142</v>
      </c>
      <c r="F50" s="482">
        <v>299720</v>
      </c>
      <c r="G50" s="482">
        <v>299720</v>
      </c>
      <c r="H50" s="482">
        <v>0</v>
      </c>
      <c r="I50" s="482">
        <v>299720</v>
      </c>
      <c r="J50" s="482">
        <v>0</v>
      </c>
      <c r="K50" s="482">
        <v>299720</v>
      </c>
      <c r="L50" s="482">
        <v>0</v>
      </c>
      <c r="M50" s="482"/>
    </row>
    <row r="51" spans="1:13" ht="20.100000000000001" customHeight="1" x14ac:dyDescent="0.2">
      <c r="A51" s="410" t="str">
        <f t="shared" si="0"/>
        <v>174250-3-142</v>
      </c>
      <c r="B51" s="475">
        <v>174250</v>
      </c>
      <c r="C51" s="476">
        <v>3</v>
      </c>
      <c r="D51" s="477" t="s">
        <v>8</v>
      </c>
      <c r="E51" s="476">
        <v>142</v>
      </c>
      <c r="F51" s="478">
        <v>1576206.6</v>
      </c>
      <c r="G51" s="478">
        <v>1547800.88</v>
      </c>
      <c r="H51" s="478">
        <v>782513.13</v>
      </c>
      <c r="I51" s="478">
        <v>765287.75</v>
      </c>
      <c r="J51" s="478">
        <v>8029.6</v>
      </c>
      <c r="K51" s="478">
        <v>757258.15</v>
      </c>
      <c r="L51" s="478">
        <v>28405.72</v>
      </c>
      <c r="M51" s="478"/>
    </row>
    <row r="52" spans="1:13" ht="20.100000000000001" customHeight="1" x14ac:dyDescent="0.2">
      <c r="A52" s="410" t="str">
        <f t="shared" si="0"/>
        <v>174250-4-142</v>
      </c>
      <c r="B52" s="479">
        <v>174250</v>
      </c>
      <c r="C52" s="480">
        <v>4</v>
      </c>
      <c r="D52" s="481" t="s">
        <v>7</v>
      </c>
      <c r="E52" s="480">
        <v>142</v>
      </c>
      <c r="F52" s="482">
        <v>215399</v>
      </c>
      <c r="G52" s="482">
        <v>212716</v>
      </c>
      <c r="H52" s="482">
        <v>0</v>
      </c>
      <c r="I52" s="482">
        <v>212716</v>
      </c>
      <c r="J52" s="482">
        <v>8640</v>
      </c>
      <c r="K52" s="482">
        <v>204076</v>
      </c>
      <c r="L52" s="482">
        <v>2683</v>
      </c>
      <c r="M52" s="482"/>
    </row>
    <row r="53" spans="1:13" ht="20.100000000000001" customHeight="1" x14ac:dyDescent="0.2">
      <c r="A53" s="410" t="str">
        <f t="shared" si="0"/>
        <v>174252-3-142</v>
      </c>
      <c r="B53" s="475">
        <v>174252</v>
      </c>
      <c r="C53" s="476">
        <v>3</v>
      </c>
      <c r="D53" s="477" t="s">
        <v>8</v>
      </c>
      <c r="E53" s="476">
        <v>142</v>
      </c>
      <c r="F53" s="478">
        <v>1841877.52</v>
      </c>
      <c r="G53" s="478">
        <v>1639988.7</v>
      </c>
      <c r="H53" s="478">
        <v>385833.14</v>
      </c>
      <c r="I53" s="478">
        <v>1254155.56</v>
      </c>
      <c r="J53" s="478">
        <v>9148.86</v>
      </c>
      <c r="K53" s="478">
        <v>1245006.7</v>
      </c>
      <c r="L53" s="478">
        <v>201888.82</v>
      </c>
      <c r="M53" s="478"/>
    </row>
    <row r="54" spans="1:13" ht="20.100000000000001" customHeight="1" x14ac:dyDescent="0.2">
      <c r="A54" s="410" t="str">
        <f t="shared" si="0"/>
        <v>174253-3-142</v>
      </c>
      <c r="B54" s="479">
        <v>174253</v>
      </c>
      <c r="C54" s="480">
        <v>3</v>
      </c>
      <c r="D54" s="481" t="s">
        <v>8</v>
      </c>
      <c r="E54" s="480">
        <v>142</v>
      </c>
      <c r="F54" s="482">
        <v>239142.47</v>
      </c>
      <c r="G54" s="482">
        <v>201241.24</v>
      </c>
      <c r="H54" s="482">
        <v>40135.620000000003</v>
      </c>
      <c r="I54" s="482">
        <v>161105.62</v>
      </c>
      <c r="J54" s="482">
        <v>578.6</v>
      </c>
      <c r="K54" s="482">
        <v>160527.01999999999</v>
      </c>
      <c r="L54" s="482">
        <v>37901.230000000003</v>
      </c>
      <c r="M54" s="482"/>
    </row>
    <row r="55" spans="1:13" ht="20.100000000000001" customHeight="1" x14ac:dyDescent="0.2">
      <c r="A55" s="410" t="str">
        <f t="shared" si="0"/>
        <v>174254-3-142</v>
      </c>
      <c r="B55" s="475">
        <v>174254</v>
      </c>
      <c r="C55" s="476">
        <v>3</v>
      </c>
      <c r="D55" s="477" t="s">
        <v>8</v>
      </c>
      <c r="E55" s="476">
        <v>142</v>
      </c>
      <c r="F55" s="478">
        <v>732531.08</v>
      </c>
      <c r="G55" s="478">
        <v>677479.7</v>
      </c>
      <c r="H55" s="478">
        <v>121422.98</v>
      </c>
      <c r="I55" s="478">
        <v>556056.72</v>
      </c>
      <c r="J55" s="478">
        <v>4708.6400000000003</v>
      </c>
      <c r="K55" s="478">
        <v>551348.07999999996</v>
      </c>
      <c r="L55" s="478">
        <v>55051.38</v>
      </c>
      <c r="M55" s="478"/>
    </row>
    <row r="56" spans="1:13" ht="20.100000000000001" customHeight="1" x14ac:dyDescent="0.2">
      <c r="A56" s="410" t="str">
        <f t="shared" si="0"/>
        <v>174255-3-142</v>
      </c>
      <c r="B56" s="479">
        <v>174255</v>
      </c>
      <c r="C56" s="480">
        <v>3</v>
      </c>
      <c r="D56" s="481" t="s">
        <v>8</v>
      </c>
      <c r="E56" s="480">
        <v>142</v>
      </c>
      <c r="F56" s="482">
        <v>421000</v>
      </c>
      <c r="G56" s="482">
        <v>421000</v>
      </c>
      <c r="H56" s="482">
        <v>416487.79</v>
      </c>
      <c r="I56" s="482">
        <v>4512.21</v>
      </c>
      <c r="J56" s="482">
        <v>0</v>
      </c>
      <c r="K56" s="482">
        <v>4512.21</v>
      </c>
      <c r="L56" s="482">
        <v>0</v>
      </c>
      <c r="M56" s="482"/>
    </row>
    <row r="57" spans="1:13" ht="20.100000000000001" customHeight="1" x14ac:dyDescent="0.2">
      <c r="A57" s="410" t="str">
        <f t="shared" si="0"/>
        <v>174256-3-142</v>
      </c>
      <c r="B57" s="475">
        <v>174256</v>
      </c>
      <c r="C57" s="476">
        <v>3</v>
      </c>
      <c r="D57" s="477" t="s">
        <v>8</v>
      </c>
      <c r="E57" s="476">
        <v>142</v>
      </c>
      <c r="F57" s="478">
        <v>298046.99</v>
      </c>
      <c r="G57" s="478">
        <v>298046.99</v>
      </c>
      <c r="H57" s="478">
        <v>272559.83</v>
      </c>
      <c r="I57" s="478">
        <v>25487.16</v>
      </c>
      <c r="J57" s="478">
        <v>0</v>
      </c>
      <c r="K57" s="478">
        <v>25487.16</v>
      </c>
      <c r="L57" s="478">
        <v>0</v>
      </c>
      <c r="M57" s="478"/>
    </row>
    <row r="58" spans="1:13" ht="20.100000000000001" customHeight="1" x14ac:dyDescent="0.2">
      <c r="A58" s="410" t="str">
        <f t="shared" si="0"/>
        <v>174257-3-142</v>
      </c>
      <c r="B58" s="479">
        <v>174257</v>
      </c>
      <c r="C58" s="480">
        <v>3</v>
      </c>
      <c r="D58" s="481" t="s">
        <v>8</v>
      </c>
      <c r="E58" s="480">
        <v>142</v>
      </c>
      <c r="F58" s="482">
        <v>3680528.09</v>
      </c>
      <c r="G58" s="482">
        <v>2916373.05</v>
      </c>
      <c r="H58" s="482">
        <v>1942209.66</v>
      </c>
      <c r="I58" s="482">
        <v>974163.39</v>
      </c>
      <c r="J58" s="482">
        <v>50213.49</v>
      </c>
      <c r="K58" s="482">
        <v>923949.9</v>
      </c>
      <c r="L58" s="482">
        <v>764155.04</v>
      </c>
      <c r="M58" s="482"/>
    </row>
    <row r="59" spans="1:13" ht="20.100000000000001" customHeight="1" x14ac:dyDescent="0.2">
      <c r="A59" s="410" t="str">
        <f t="shared" si="0"/>
        <v>174257-4-142</v>
      </c>
      <c r="B59" s="475">
        <v>174257</v>
      </c>
      <c r="C59" s="476">
        <v>4</v>
      </c>
      <c r="D59" s="477" t="s">
        <v>7</v>
      </c>
      <c r="E59" s="476">
        <v>142</v>
      </c>
      <c r="F59" s="478">
        <v>190000</v>
      </c>
      <c r="G59" s="478">
        <v>190000</v>
      </c>
      <c r="H59" s="478">
        <v>120000</v>
      </c>
      <c r="I59" s="478">
        <v>70000</v>
      </c>
      <c r="J59" s="478">
        <v>0</v>
      </c>
      <c r="K59" s="478">
        <v>70000</v>
      </c>
      <c r="L59" s="478">
        <v>0</v>
      </c>
      <c r="M59" s="478"/>
    </row>
    <row r="60" spans="1:13" ht="20.100000000000001" customHeight="1" x14ac:dyDescent="0.2">
      <c r="A60" s="410" t="str">
        <f t="shared" si="0"/>
        <v>174258-3-142</v>
      </c>
      <c r="B60" s="479">
        <v>174258</v>
      </c>
      <c r="C60" s="480">
        <v>3</v>
      </c>
      <c r="D60" s="481" t="s">
        <v>8</v>
      </c>
      <c r="E60" s="480">
        <v>142</v>
      </c>
      <c r="F60" s="482">
        <v>1495000</v>
      </c>
      <c r="G60" s="482">
        <v>1373748.56</v>
      </c>
      <c r="H60" s="482">
        <v>649345.44999999995</v>
      </c>
      <c r="I60" s="482">
        <v>724403.11</v>
      </c>
      <c r="J60" s="482">
        <v>33452.870000000003</v>
      </c>
      <c r="K60" s="482">
        <v>690950.24</v>
      </c>
      <c r="L60" s="482">
        <v>121251.44</v>
      </c>
      <c r="M60" s="482"/>
    </row>
    <row r="61" spans="1:13" ht="20.100000000000001" customHeight="1" x14ac:dyDescent="0.2">
      <c r="A61" s="410" t="str">
        <f t="shared" si="0"/>
        <v>174258-4-142</v>
      </c>
      <c r="B61" s="475">
        <v>174258</v>
      </c>
      <c r="C61" s="476">
        <v>4</v>
      </c>
      <c r="D61" s="477" t="s">
        <v>7</v>
      </c>
      <c r="E61" s="476">
        <v>142</v>
      </c>
      <c r="F61" s="478">
        <v>760925</v>
      </c>
      <c r="G61" s="478">
        <v>297429.08</v>
      </c>
      <c r="H61" s="478">
        <v>288789.08</v>
      </c>
      <c r="I61" s="478">
        <v>8640</v>
      </c>
      <c r="J61" s="478">
        <v>8640</v>
      </c>
      <c r="K61" s="478"/>
      <c r="L61" s="478">
        <v>463495.92</v>
      </c>
      <c r="M61" s="478"/>
    </row>
    <row r="62" spans="1:13" ht="20.100000000000001" customHeight="1" x14ac:dyDescent="0.2">
      <c r="A62" s="410" t="str">
        <f t="shared" si="0"/>
        <v>174259-3-142</v>
      </c>
      <c r="B62" s="479">
        <v>174259</v>
      </c>
      <c r="C62" s="480">
        <v>3</v>
      </c>
      <c r="D62" s="481" t="s">
        <v>8</v>
      </c>
      <c r="E62" s="480">
        <v>142</v>
      </c>
      <c r="F62" s="482">
        <v>159289.29</v>
      </c>
      <c r="G62" s="482">
        <v>152811.9</v>
      </c>
      <c r="H62" s="482">
        <v>36467.279999999999</v>
      </c>
      <c r="I62" s="482">
        <v>116344.62</v>
      </c>
      <c r="J62" s="482">
        <v>6633.36</v>
      </c>
      <c r="K62" s="482">
        <v>109711.26</v>
      </c>
      <c r="L62" s="482">
        <v>6477.39</v>
      </c>
      <c r="M62" s="482"/>
    </row>
    <row r="63" spans="1:13" ht="20.100000000000001" customHeight="1" x14ac:dyDescent="0.2">
      <c r="A63" s="410" t="str">
        <f t="shared" si="0"/>
        <v>174260-3-142</v>
      </c>
      <c r="B63" s="475">
        <v>174260</v>
      </c>
      <c r="C63" s="476">
        <v>3</v>
      </c>
      <c r="D63" s="477" t="s">
        <v>8</v>
      </c>
      <c r="E63" s="476">
        <v>142</v>
      </c>
      <c r="F63" s="478">
        <v>1517031.85</v>
      </c>
      <c r="G63" s="478">
        <v>1426515.68</v>
      </c>
      <c r="H63" s="478">
        <v>401393.05</v>
      </c>
      <c r="I63" s="478">
        <v>1025122.63</v>
      </c>
      <c r="J63" s="478">
        <v>14095.42</v>
      </c>
      <c r="K63" s="478">
        <v>1011027.21</v>
      </c>
      <c r="L63" s="478">
        <v>90516.17</v>
      </c>
      <c r="M63" s="478"/>
    </row>
    <row r="64" spans="1:13" ht="20.100000000000001" customHeight="1" x14ac:dyDescent="0.2">
      <c r="A64" s="410" t="str">
        <f t="shared" si="0"/>
        <v>174261-3-142</v>
      </c>
      <c r="B64" s="479">
        <v>174261</v>
      </c>
      <c r="C64" s="480">
        <v>3</v>
      </c>
      <c r="D64" s="481" t="s">
        <v>8</v>
      </c>
      <c r="E64" s="480">
        <v>142</v>
      </c>
      <c r="F64" s="482">
        <v>13489999.689999999</v>
      </c>
      <c r="G64" s="482">
        <v>10789999.689999999</v>
      </c>
      <c r="H64" s="482">
        <v>9889166.5199999996</v>
      </c>
      <c r="I64" s="482">
        <v>900833.17</v>
      </c>
      <c r="J64" s="482">
        <v>51209.79</v>
      </c>
      <c r="K64" s="482">
        <v>849623.38</v>
      </c>
      <c r="L64" s="482">
        <v>2700000</v>
      </c>
      <c r="M64" s="482"/>
    </row>
    <row r="65" spans="1:13" ht="20.100000000000001" customHeight="1" x14ac:dyDescent="0.2">
      <c r="A65" s="410" t="str">
        <f t="shared" si="0"/>
        <v>174262-3-142</v>
      </c>
      <c r="B65" s="475">
        <v>174262</v>
      </c>
      <c r="C65" s="476">
        <v>3</v>
      </c>
      <c r="D65" s="477" t="s">
        <v>8</v>
      </c>
      <c r="E65" s="476">
        <v>142</v>
      </c>
      <c r="F65" s="478">
        <v>2085465.16</v>
      </c>
      <c r="G65" s="478">
        <v>2026176.82</v>
      </c>
      <c r="H65" s="478">
        <v>857665.06</v>
      </c>
      <c r="I65" s="478">
        <v>1168511.76</v>
      </c>
      <c r="J65" s="478">
        <v>66788.899999999994</v>
      </c>
      <c r="K65" s="478">
        <v>1101722.8600000001</v>
      </c>
      <c r="L65" s="478">
        <v>59288.34</v>
      </c>
      <c r="M65" s="478"/>
    </row>
    <row r="66" spans="1:13" ht="20.100000000000001" customHeight="1" x14ac:dyDescent="0.2">
      <c r="A66" s="410" t="str">
        <f t="shared" si="0"/>
        <v>174262-4-142</v>
      </c>
      <c r="B66" s="479">
        <v>174262</v>
      </c>
      <c r="C66" s="480">
        <v>4</v>
      </c>
      <c r="D66" s="481" t="s">
        <v>7</v>
      </c>
      <c r="E66" s="480">
        <v>142</v>
      </c>
      <c r="F66" s="482">
        <v>489288.8</v>
      </c>
      <c r="G66" s="482">
        <v>489288.8</v>
      </c>
      <c r="H66" s="482">
        <v>0</v>
      </c>
      <c r="I66" s="482">
        <v>489288.8</v>
      </c>
      <c r="J66" s="482">
        <v>0</v>
      </c>
      <c r="K66" s="482">
        <v>489288.8</v>
      </c>
      <c r="L66" s="482">
        <v>0</v>
      </c>
      <c r="M66" s="482"/>
    </row>
    <row r="67" spans="1:13" ht="20.100000000000001" customHeight="1" x14ac:dyDescent="0.2">
      <c r="A67" s="410" t="str">
        <f t="shared" si="0"/>
        <v>174263-3-142</v>
      </c>
      <c r="B67" s="475">
        <v>174263</v>
      </c>
      <c r="C67" s="476">
        <v>3</v>
      </c>
      <c r="D67" s="477" t="s">
        <v>8</v>
      </c>
      <c r="E67" s="476">
        <v>142</v>
      </c>
      <c r="F67" s="478">
        <v>655000</v>
      </c>
      <c r="G67" s="478">
        <v>614392.36</v>
      </c>
      <c r="H67" s="478">
        <v>381195.41</v>
      </c>
      <c r="I67" s="478">
        <v>233196.95</v>
      </c>
      <c r="J67" s="478">
        <v>19356.07</v>
      </c>
      <c r="K67" s="478">
        <v>213840.88</v>
      </c>
      <c r="L67" s="478">
        <v>40607.64</v>
      </c>
      <c r="M67" s="478"/>
    </row>
    <row r="68" spans="1:13" ht="20.100000000000001" customHeight="1" x14ac:dyDescent="0.2">
      <c r="A68" s="410" t="str">
        <f t="shared" si="0"/>
        <v>174263-4-142</v>
      </c>
      <c r="B68" s="479">
        <v>174263</v>
      </c>
      <c r="C68" s="480">
        <v>4</v>
      </c>
      <c r="D68" s="481" t="s">
        <v>7</v>
      </c>
      <c r="E68" s="480">
        <v>142</v>
      </c>
      <c r="F68" s="482">
        <v>426406</v>
      </c>
      <c r="G68" s="482">
        <v>400000</v>
      </c>
      <c r="H68" s="482">
        <v>400000</v>
      </c>
      <c r="I68" s="482"/>
      <c r="J68" s="482"/>
      <c r="K68" s="482"/>
      <c r="L68" s="482">
        <v>26406</v>
      </c>
      <c r="M68" s="482"/>
    </row>
    <row r="69" spans="1:13" ht="20.100000000000001" customHeight="1" x14ac:dyDescent="0.2">
      <c r="A69" s="410" t="str">
        <f t="shared" si="0"/>
        <v>174264-3-142</v>
      </c>
      <c r="B69" s="475">
        <v>174264</v>
      </c>
      <c r="C69" s="476">
        <v>3</v>
      </c>
      <c r="D69" s="477" t="s">
        <v>8</v>
      </c>
      <c r="E69" s="476">
        <v>142</v>
      </c>
      <c r="F69" s="478">
        <v>3295986.15</v>
      </c>
      <c r="G69" s="478">
        <v>2342135.19</v>
      </c>
      <c r="H69" s="478">
        <v>1244126.8799999999</v>
      </c>
      <c r="I69" s="478">
        <v>1098008.31</v>
      </c>
      <c r="J69" s="478">
        <v>30856.720000000001</v>
      </c>
      <c r="K69" s="478">
        <v>1067151.5900000001</v>
      </c>
      <c r="L69" s="478">
        <v>953850.96</v>
      </c>
      <c r="M69" s="478"/>
    </row>
    <row r="70" spans="1:13" ht="20.100000000000001" customHeight="1" x14ac:dyDescent="0.2">
      <c r="A70" s="410" t="str">
        <f t="shared" si="0"/>
        <v>174264-4-142</v>
      </c>
      <c r="B70" s="479">
        <v>174264</v>
      </c>
      <c r="C70" s="480">
        <v>4</v>
      </c>
      <c r="D70" s="481" t="s">
        <v>7</v>
      </c>
      <c r="E70" s="480">
        <v>142</v>
      </c>
      <c r="F70" s="482">
        <v>251782.25</v>
      </c>
      <c r="G70" s="482">
        <v>251782.25</v>
      </c>
      <c r="H70" s="482">
        <v>174144.11</v>
      </c>
      <c r="I70" s="482">
        <v>77638.14</v>
      </c>
      <c r="J70" s="482">
        <v>30767.040000000001</v>
      </c>
      <c r="K70" s="482">
        <v>46871.1</v>
      </c>
      <c r="L70" s="482">
        <v>0</v>
      </c>
      <c r="M70" s="482"/>
    </row>
    <row r="71" spans="1:13" ht="20.100000000000001" customHeight="1" x14ac:dyDescent="0.2">
      <c r="A71" s="410" t="str">
        <f t="shared" ref="A71:A87" si="1">CONCATENATE(B71,"-",C71,"-",E71)</f>
        <v>174265-3-142</v>
      </c>
      <c r="B71" s="475">
        <v>174265</v>
      </c>
      <c r="C71" s="476">
        <v>3</v>
      </c>
      <c r="D71" s="477" t="s">
        <v>8</v>
      </c>
      <c r="E71" s="476">
        <v>142</v>
      </c>
      <c r="F71" s="478">
        <v>355020.62</v>
      </c>
      <c r="G71" s="478">
        <v>291962.09000000003</v>
      </c>
      <c r="H71" s="478">
        <v>59269.9</v>
      </c>
      <c r="I71" s="478">
        <v>232692.19</v>
      </c>
      <c r="J71" s="478">
        <v>2326.89</v>
      </c>
      <c r="K71" s="478">
        <v>230365.3</v>
      </c>
      <c r="L71" s="478">
        <v>63058.53</v>
      </c>
      <c r="M71" s="478"/>
    </row>
    <row r="72" spans="1:13" ht="20.100000000000001" customHeight="1" x14ac:dyDescent="0.2">
      <c r="A72" s="410" t="str">
        <f t="shared" si="1"/>
        <v>174267-3-142</v>
      </c>
      <c r="B72" s="479">
        <v>174267</v>
      </c>
      <c r="C72" s="480">
        <v>3</v>
      </c>
      <c r="D72" s="481" t="s">
        <v>8</v>
      </c>
      <c r="E72" s="480">
        <v>142</v>
      </c>
      <c r="F72" s="482">
        <v>1505712.55</v>
      </c>
      <c r="G72" s="482">
        <v>1478541.09</v>
      </c>
      <c r="H72" s="482">
        <v>383814.82</v>
      </c>
      <c r="I72" s="482">
        <v>1094726.27</v>
      </c>
      <c r="J72" s="482">
        <v>56053.440000000002</v>
      </c>
      <c r="K72" s="482">
        <v>1038672.83</v>
      </c>
      <c r="L72" s="482">
        <v>27171.46</v>
      </c>
      <c r="M72" s="482"/>
    </row>
    <row r="73" spans="1:13" ht="20.100000000000001" customHeight="1" x14ac:dyDescent="0.2">
      <c r="A73" s="410" t="str">
        <f t="shared" si="1"/>
        <v>174267-4-142</v>
      </c>
      <c r="B73" s="475">
        <v>174267</v>
      </c>
      <c r="C73" s="476">
        <v>4</v>
      </c>
      <c r="D73" s="477" t="s">
        <v>7</v>
      </c>
      <c r="E73" s="476">
        <v>142</v>
      </c>
      <c r="F73" s="478">
        <v>110000</v>
      </c>
      <c r="G73" s="478">
        <v>110000</v>
      </c>
      <c r="H73" s="478">
        <v>0</v>
      </c>
      <c r="I73" s="478">
        <v>110000</v>
      </c>
      <c r="J73" s="478">
        <v>0</v>
      </c>
      <c r="K73" s="478">
        <v>110000</v>
      </c>
      <c r="L73" s="478">
        <v>0</v>
      </c>
      <c r="M73" s="478"/>
    </row>
    <row r="74" spans="1:13" ht="20.100000000000001" customHeight="1" x14ac:dyDescent="0.2">
      <c r="A74" s="410" t="str">
        <f t="shared" si="1"/>
        <v>174268-3-142</v>
      </c>
      <c r="B74" s="479">
        <v>174268</v>
      </c>
      <c r="C74" s="480">
        <v>3</v>
      </c>
      <c r="D74" s="481" t="s">
        <v>8</v>
      </c>
      <c r="E74" s="480">
        <v>142</v>
      </c>
      <c r="F74" s="482">
        <v>700000</v>
      </c>
      <c r="G74" s="482">
        <v>688210.14</v>
      </c>
      <c r="H74" s="482">
        <v>263357.62</v>
      </c>
      <c r="I74" s="482">
        <v>424852.52</v>
      </c>
      <c r="J74" s="482">
        <v>20423.080000000002</v>
      </c>
      <c r="K74" s="482">
        <v>404429.44</v>
      </c>
      <c r="L74" s="482">
        <v>11789.86</v>
      </c>
      <c r="M74" s="482"/>
    </row>
    <row r="75" spans="1:13" ht="20.100000000000001" customHeight="1" x14ac:dyDescent="0.2">
      <c r="A75" s="410" t="str">
        <f t="shared" si="1"/>
        <v>174268-4-142</v>
      </c>
      <c r="B75" s="475">
        <v>174268</v>
      </c>
      <c r="C75" s="476">
        <v>4</v>
      </c>
      <c r="D75" s="477" t="s">
        <v>7</v>
      </c>
      <c r="E75" s="476">
        <v>142</v>
      </c>
      <c r="F75" s="478">
        <v>15814.9</v>
      </c>
      <c r="G75" s="478">
        <v>15626</v>
      </c>
      <c r="H75" s="478">
        <v>15626</v>
      </c>
      <c r="I75" s="478"/>
      <c r="J75" s="478"/>
      <c r="K75" s="478"/>
      <c r="L75" s="478">
        <v>188.9</v>
      </c>
      <c r="M75" s="478"/>
    </row>
    <row r="76" spans="1:13" ht="20.100000000000001" customHeight="1" x14ac:dyDescent="0.2">
      <c r="A76" s="410" t="str">
        <f t="shared" si="1"/>
        <v>174269-3-142</v>
      </c>
      <c r="B76" s="479">
        <v>174269</v>
      </c>
      <c r="C76" s="480">
        <v>3</v>
      </c>
      <c r="D76" s="481" t="s">
        <v>8</v>
      </c>
      <c r="E76" s="480">
        <v>142</v>
      </c>
      <c r="F76" s="482">
        <v>4102144.95</v>
      </c>
      <c r="G76" s="482">
        <v>3696468.68</v>
      </c>
      <c r="H76" s="482">
        <v>616801.61</v>
      </c>
      <c r="I76" s="482">
        <v>3079667.07</v>
      </c>
      <c r="J76" s="482">
        <v>95478.07</v>
      </c>
      <c r="K76" s="482">
        <v>2984189</v>
      </c>
      <c r="L76" s="482">
        <v>405676.27</v>
      </c>
      <c r="M76" s="482"/>
    </row>
    <row r="77" spans="1:13" ht="20.100000000000001" customHeight="1" x14ac:dyDescent="0.2">
      <c r="A77" s="410" t="str">
        <f t="shared" si="1"/>
        <v>174270-3-142</v>
      </c>
      <c r="B77" s="475">
        <v>174270</v>
      </c>
      <c r="C77" s="476">
        <v>3</v>
      </c>
      <c r="D77" s="477" t="s">
        <v>8</v>
      </c>
      <c r="E77" s="476">
        <v>142</v>
      </c>
      <c r="F77" s="478">
        <v>2276416.4500000002</v>
      </c>
      <c r="G77" s="478">
        <v>2033582.07</v>
      </c>
      <c r="H77" s="478">
        <v>1464737.42</v>
      </c>
      <c r="I77" s="478">
        <v>568844.65</v>
      </c>
      <c r="J77" s="478">
        <v>105953.82</v>
      </c>
      <c r="K77" s="478">
        <v>462890.83</v>
      </c>
      <c r="L77" s="478">
        <v>242834.38</v>
      </c>
      <c r="M77" s="478"/>
    </row>
    <row r="78" spans="1:13" ht="20.100000000000001" customHeight="1" x14ac:dyDescent="0.2">
      <c r="A78" s="410" t="str">
        <f t="shared" si="1"/>
        <v>174271-3-142</v>
      </c>
      <c r="B78" s="479">
        <v>174271</v>
      </c>
      <c r="C78" s="480">
        <v>3</v>
      </c>
      <c r="D78" s="481" t="s">
        <v>8</v>
      </c>
      <c r="E78" s="480">
        <v>142</v>
      </c>
      <c r="F78" s="482">
        <v>437610.69</v>
      </c>
      <c r="G78" s="482">
        <v>403193.29</v>
      </c>
      <c r="H78" s="482">
        <v>59836.33</v>
      </c>
      <c r="I78" s="482">
        <v>343356.96</v>
      </c>
      <c r="J78" s="482">
        <v>7741.68</v>
      </c>
      <c r="K78" s="482">
        <v>335615.28</v>
      </c>
      <c r="L78" s="482">
        <v>34417.4</v>
      </c>
      <c r="M78" s="482"/>
    </row>
    <row r="79" spans="1:13" ht="20.100000000000001" customHeight="1" x14ac:dyDescent="0.2">
      <c r="A79" s="410" t="str">
        <f t="shared" si="1"/>
        <v>174271-4-142</v>
      </c>
      <c r="B79" s="475">
        <v>174271</v>
      </c>
      <c r="C79" s="476">
        <v>4</v>
      </c>
      <c r="D79" s="477" t="s">
        <v>7</v>
      </c>
      <c r="E79" s="476">
        <v>142</v>
      </c>
      <c r="F79" s="478">
        <v>100000</v>
      </c>
      <c r="G79" s="478">
        <v>100000</v>
      </c>
      <c r="H79" s="478">
        <v>33000</v>
      </c>
      <c r="I79" s="478">
        <v>67000</v>
      </c>
      <c r="J79" s="478">
        <v>67000</v>
      </c>
      <c r="K79" s="478"/>
      <c r="L79" s="478">
        <v>0</v>
      </c>
      <c r="M79" s="478"/>
    </row>
    <row r="80" spans="1:13" ht="20.100000000000001" customHeight="1" x14ac:dyDescent="0.2">
      <c r="A80" s="410" t="str">
        <f t="shared" si="1"/>
        <v>174272-3-142</v>
      </c>
      <c r="B80" s="479">
        <v>174272</v>
      </c>
      <c r="C80" s="480">
        <v>3</v>
      </c>
      <c r="D80" s="481" t="s">
        <v>8</v>
      </c>
      <c r="E80" s="480">
        <v>142</v>
      </c>
      <c r="F80" s="482">
        <v>397926.69</v>
      </c>
      <c r="G80" s="482">
        <v>378507.24</v>
      </c>
      <c r="H80" s="482">
        <v>113791.46</v>
      </c>
      <c r="I80" s="482">
        <v>264715.78000000003</v>
      </c>
      <c r="J80" s="482">
        <v>17990.37</v>
      </c>
      <c r="K80" s="482">
        <v>246725.41</v>
      </c>
      <c r="L80" s="482">
        <v>19419.45</v>
      </c>
      <c r="M80" s="482"/>
    </row>
    <row r="81" spans="1:13" ht="20.100000000000001" customHeight="1" x14ac:dyDescent="0.2">
      <c r="A81" s="410" t="str">
        <f t="shared" si="1"/>
        <v>174273-3-142</v>
      </c>
      <c r="B81" s="475">
        <v>174273</v>
      </c>
      <c r="C81" s="476">
        <v>3</v>
      </c>
      <c r="D81" s="477" t="s">
        <v>8</v>
      </c>
      <c r="E81" s="476">
        <v>142</v>
      </c>
      <c r="F81" s="478">
        <v>1000000</v>
      </c>
      <c r="G81" s="478">
        <v>1000000</v>
      </c>
      <c r="H81" s="478">
        <v>1000000</v>
      </c>
      <c r="I81" s="478"/>
      <c r="J81" s="478"/>
      <c r="K81" s="478"/>
      <c r="L81" s="478">
        <v>0</v>
      </c>
      <c r="M81" s="478"/>
    </row>
    <row r="82" spans="1:13" ht="20.100000000000001" customHeight="1" x14ac:dyDescent="0.2">
      <c r="A82" s="410" t="str">
        <f t="shared" si="1"/>
        <v>195063-3-100</v>
      </c>
      <c r="B82" s="479">
        <v>195063</v>
      </c>
      <c r="C82" s="480">
        <v>3</v>
      </c>
      <c r="D82" s="481" t="s">
        <v>8</v>
      </c>
      <c r="E82" s="480">
        <v>100</v>
      </c>
      <c r="F82" s="482">
        <v>890994.32</v>
      </c>
      <c r="G82" s="482">
        <v>873875.4</v>
      </c>
      <c r="H82" s="482">
        <v>1881.32</v>
      </c>
      <c r="I82" s="482">
        <v>871994.08</v>
      </c>
      <c r="J82" s="482">
        <v>0</v>
      </c>
      <c r="K82" s="482">
        <v>871994.08</v>
      </c>
      <c r="L82" s="482">
        <v>17118.919999999998</v>
      </c>
      <c r="M82" s="482"/>
    </row>
    <row r="83" spans="1:13" ht="20.100000000000001" customHeight="1" x14ac:dyDescent="0.2">
      <c r="A83" s="410" t="str">
        <f t="shared" si="1"/>
        <v>195065-3-100</v>
      </c>
      <c r="B83" s="475">
        <v>195065</v>
      </c>
      <c r="C83" s="476">
        <v>3</v>
      </c>
      <c r="D83" s="477" t="s">
        <v>8</v>
      </c>
      <c r="E83" s="476">
        <v>100</v>
      </c>
      <c r="F83" s="478">
        <v>132799.54999999999</v>
      </c>
      <c r="G83" s="478">
        <v>120624.94</v>
      </c>
      <c r="H83" s="478">
        <v>617.84</v>
      </c>
      <c r="I83" s="478">
        <v>120007.1</v>
      </c>
      <c r="J83" s="478">
        <v>220.34</v>
      </c>
      <c r="K83" s="478">
        <v>119786.76</v>
      </c>
      <c r="L83" s="478">
        <v>12174.61</v>
      </c>
      <c r="M83" s="478"/>
    </row>
    <row r="84" spans="1:13" ht="20.100000000000001" customHeight="1" x14ac:dyDescent="0.2">
      <c r="A84" s="410" t="str">
        <f t="shared" si="1"/>
        <v>195067-3-100</v>
      </c>
      <c r="B84" s="479">
        <v>195067</v>
      </c>
      <c r="C84" s="480">
        <v>3</v>
      </c>
      <c r="D84" s="481" t="s">
        <v>8</v>
      </c>
      <c r="E84" s="480">
        <v>100</v>
      </c>
      <c r="F84" s="482">
        <v>13645406.32</v>
      </c>
      <c r="G84" s="482">
        <v>13645406.32</v>
      </c>
      <c r="H84" s="482">
        <v>3816868.88</v>
      </c>
      <c r="I84" s="482">
        <v>9828537.4399999995</v>
      </c>
      <c r="J84" s="482">
        <v>0</v>
      </c>
      <c r="K84" s="482">
        <v>9828537.4399999995</v>
      </c>
      <c r="L84" s="482">
        <v>0</v>
      </c>
      <c r="M84" s="482"/>
    </row>
    <row r="85" spans="1:13" ht="20.100000000000001" customHeight="1" x14ac:dyDescent="0.2">
      <c r="A85" s="410" t="str">
        <f t="shared" si="1"/>
        <v>204816-3-181</v>
      </c>
      <c r="B85" s="475">
        <v>204816</v>
      </c>
      <c r="C85" s="476">
        <v>3</v>
      </c>
      <c r="D85" s="477" t="s">
        <v>8</v>
      </c>
      <c r="E85" s="476">
        <v>181</v>
      </c>
      <c r="F85" s="478">
        <v>540347.97</v>
      </c>
      <c r="G85" s="478">
        <v>439657.82</v>
      </c>
      <c r="H85" s="478">
        <v>1433.09</v>
      </c>
      <c r="I85" s="478">
        <v>438224.73</v>
      </c>
      <c r="J85" s="478">
        <v>3349.03</v>
      </c>
      <c r="K85" s="478">
        <v>434875.7</v>
      </c>
      <c r="L85" s="478">
        <v>100690.15</v>
      </c>
      <c r="M85" s="478"/>
    </row>
    <row r="86" spans="1:13" ht="20.100000000000001" customHeight="1" x14ac:dyDescent="0.2">
      <c r="A86" s="410" t="str">
        <f t="shared" si="1"/>
        <v>204817-3-181</v>
      </c>
      <c r="B86" s="479">
        <v>204817</v>
      </c>
      <c r="C86" s="480">
        <v>3</v>
      </c>
      <c r="D86" s="481" t="s">
        <v>8</v>
      </c>
      <c r="E86" s="480">
        <v>181</v>
      </c>
      <c r="F86" s="482">
        <v>212542.69</v>
      </c>
      <c r="G86" s="482">
        <v>210644.94</v>
      </c>
      <c r="H86" s="482">
        <v>57837.82</v>
      </c>
      <c r="I86" s="482">
        <v>152807.12</v>
      </c>
      <c r="J86" s="482">
        <v>534.45000000000005</v>
      </c>
      <c r="K86" s="482">
        <v>152272.67000000001</v>
      </c>
      <c r="L86" s="482">
        <v>1897.75</v>
      </c>
      <c r="M86" s="482"/>
    </row>
    <row r="87" spans="1:13" ht="20.100000000000001" customHeight="1" x14ac:dyDescent="0.2">
      <c r="A87" s="410" t="str">
        <f t="shared" si="1"/>
        <v>213406-3-188</v>
      </c>
      <c r="B87" s="475">
        <v>213406</v>
      </c>
      <c r="C87" s="476">
        <v>3</v>
      </c>
      <c r="D87" s="477" t="s">
        <v>8</v>
      </c>
      <c r="E87" s="476">
        <v>188</v>
      </c>
      <c r="F87" s="478">
        <v>10879.32</v>
      </c>
      <c r="G87" s="478">
        <v>10879.32</v>
      </c>
      <c r="H87" s="478">
        <v>0</v>
      </c>
      <c r="I87" s="478">
        <v>10879.32</v>
      </c>
      <c r="J87" s="478">
        <v>10879.32</v>
      </c>
      <c r="K87" s="478"/>
      <c r="L87" s="478">
        <v>0</v>
      </c>
      <c r="M87" s="478"/>
    </row>
    <row r="88" spans="1:13" ht="20.100000000000001" customHeight="1" x14ac:dyDescent="0.2">
      <c r="B88" s="486" t="s">
        <v>9</v>
      </c>
      <c r="C88" s="495"/>
      <c r="D88" s="495"/>
      <c r="E88" s="486"/>
      <c r="F88" s="483">
        <v>405703762.17000002</v>
      </c>
      <c r="G88" s="483">
        <v>394929135.12</v>
      </c>
      <c r="H88" s="483">
        <v>59119058.759999998</v>
      </c>
      <c r="I88" s="483">
        <v>335810076.36000001</v>
      </c>
      <c r="J88" s="483">
        <v>10145925.039999999</v>
      </c>
      <c r="K88" s="483">
        <v>325664151.31999999</v>
      </c>
      <c r="L88" s="483">
        <v>11381249</v>
      </c>
      <c r="M88" s="483">
        <v>0</v>
      </c>
    </row>
    <row r="90" spans="1:13" ht="20.100000000000001" customHeight="1" x14ac:dyDescent="0.2">
      <c r="G90" s="458">
        <f>G88-'Execução Orçamentária'!R417</f>
        <v>0</v>
      </c>
      <c r="I90" s="458">
        <f>I88-'Execução Orçamentária'!S417</f>
        <v>0</v>
      </c>
      <c r="K90" s="458">
        <f>K88-'Execução Orçamentária'!T417</f>
        <v>0</v>
      </c>
    </row>
    <row r="93" spans="1:13" ht="20.100000000000001" customHeight="1" x14ac:dyDescent="0.2">
      <c r="I93" s="459"/>
    </row>
  </sheetData>
  <autoFilter ref="A4:M88">
    <filterColumn colId="2" showButton="0"/>
  </autoFilter>
  <mergeCells count="13">
    <mergeCell ref="C88:D8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G28" sqref="G2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504"/>
      <c r="D7" s="504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4" sqref="U4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9"/>
      <c r="I1" s="509"/>
      <c r="J1" s="50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44827</v>
      </c>
      <c r="V4" s="379"/>
    </row>
    <row r="5" spans="1:33" s="10" customFormat="1" ht="15" customHeight="1" thickTop="1" x14ac:dyDescent="0.2">
      <c r="A5" s="91"/>
      <c r="B5" s="419"/>
      <c r="C5" s="510" t="s">
        <v>59</v>
      </c>
      <c r="D5" s="513" t="s">
        <v>0</v>
      </c>
      <c r="E5" s="510" t="s">
        <v>15</v>
      </c>
      <c r="F5" s="516" t="s">
        <v>16</v>
      </c>
      <c r="G5" s="510" t="s">
        <v>219</v>
      </c>
      <c r="H5" s="507" t="s">
        <v>345</v>
      </c>
      <c r="I5" s="507" t="s">
        <v>65</v>
      </c>
      <c r="J5" s="507" t="s">
        <v>343</v>
      </c>
      <c r="K5" s="507" t="s">
        <v>84</v>
      </c>
      <c r="L5" s="507" t="s">
        <v>344</v>
      </c>
      <c r="M5" s="507" t="s">
        <v>307</v>
      </c>
      <c r="N5" s="507" t="s">
        <v>300</v>
      </c>
      <c r="O5" s="507" t="s">
        <v>17</v>
      </c>
      <c r="P5" s="507" t="s">
        <v>18</v>
      </c>
      <c r="Q5" s="380"/>
      <c r="R5" s="507" t="s">
        <v>19</v>
      </c>
      <c r="S5" s="507" t="s">
        <v>20</v>
      </c>
      <c r="T5" s="507" t="s">
        <v>61</v>
      </c>
      <c r="U5" s="50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11"/>
      <c r="D6" s="514"/>
      <c r="E6" s="511"/>
      <c r="F6" s="517"/>
      <c r="G6" s="511"/>
      <c r="H6" s="508"/>
      <c r="I6" s="508"/>
      <c r="J6" s="508"/>
      <c r="K6" s="508"/>
      <c r="L6" s="508"/>
      <c r="M6" s="508"/>
      <c r="N6" s="508"/>
      <c r="O6" s="508"/>
      <c r="P6" s="508"/>
      <c r="Q6" s="380"/>
      <c r="R6" s="508"/>
      <c r="S6" s="508"/>
      <c r="T6" s="508"/>
      <c r="U6" s="50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11"/>
      <c r="D7" s="514"/>
      <c r="E7" s="511"/>
      <c r="F7" s="517"/>
      <c r="G7" s="511"/>
      <c r="H7" s="508"/>
      <c r="I7" s="508"/>
      <c r="J7" s="508"/>
      <c r="K7" s="508"/>
      <c r="L7" s="508"/>
      <c r="M7" s="508"/>
      <c r="N7" s="508"/>
      <c r="O7" s="508"/>
      <c r="P7" s="508"/>
      <c r="Q7" s="380"/>
      <c r="R7" s="508"/>
      <c r="S7" s="508"/>
      <c r="T7" s="508"/>
      <c r="U7" s="50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12"/>
      <c r="D8" s="515"/>
      <c r="E8" s="512"/>
      <c r="F8" s="518"/>
      <c r="G8" s="51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1540818</v>
      </c>
      <c r="L9" s="26">
        <f t="shared" si="0"/>
        <v>3450818</v>
      </c>
      <c r="M9" s="26">
        <f t="shared" si="0"/>
        <v>846376</v>
      </c>
      <c r="N9" s="26">
        <f t="shared" si="0"/>
        <v>2604442</v>
      </c>
      <c r="O9" s="26">
        <f t="shared" si="0"/>
        <v>2465887.1900000004</v>
      </c>
      <c r="P9" s="26">
        <f t="shared" si="0"/>
        <v>138554.80999999994</v>
      </c>
      <c r="Q9" s="35">
        <f>SUM(Q11:Q12)</f>
        <v>0</v>
      </c>
      <c r="R9" s="26">
        <f t="shared" si="0"/>
        <v>2465887.1900000004</v>
      </c>
      <c r="S9" s="26">
        <f t="shared" si="0"/>
        <v>2465887.1900000004</v>
      </c>
      <c r="T9" s="26">
        <f t="shared" si="0"/>
        <v>2465887.1900000004</v>
      </c>
      <c r="U9" s="156">
        <f>+IFERROR((R9/N9),0%)</f>
        <v>0.94680057762852865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1300000</v>
      </c>
      <c r="L11" s="31">
        <f t="shared" si="1"/>
        <v>3100000</v>
      </c>
      <c r="M11" s="31">
        <f t="shared" si="1"/>
        <v>846376</v>
      </c>
      <c r="N11" s="31">
        <f t="shared" si="1"/>
        <v>2253624</v>
      </c>
      <c r="O11" s="31">
        <f t="shared" si="1"/>
        <v>2120967.1800000002</v>
      </c>
      <c r="P11" s="31">
        <f t="shared" si="1"/>
        <v>132656.81999999995</v>
      </c>
      <c r="Q11" s="23">
        <f t="shared" ref="Q11:T12" si="2">Q16+Q21+Q26</f>
        <v>0</v>
      </c>
      <c r="R11" s="31">
        <f t="shared" si="2"/>
        <v>2120967.1800000002</v>
      </c>
      <c r="S11" s="31">
        <f t="shared" si="2"/>
        <v>2120967.1800000002</v>
      </c>
      <c r="T11" s="31">
        <f t="shared" si="2"/>
        <v>2120967.1800000002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0</v>
      </c>
      <c r="N12" s="31">
        <f t="shared" si="3"/>
        <v>350818</v>
      </c>
      <c r="O12" s="31">
        <f t="shared" si="3"/>
        <v>344920.01</v>
      </c>
      <c r="P12" s="31">
        <f>P17+P22+P27</f>
        <v>5897.9899999999907</v>
      </c>
      <c r="Q12" s="23">
        <f t="shared" si="2"/>
        <v>0</v>
      </c>
      <c r="R12" s="31">
        <f t="shared" si="2"/>
        <v>344920.01</v>
      </c>
      <c r="S12" s="31">
        <f t="shared" si="2"/>
        <v>344920.01</v>
      </c>
      <c r="T12" s="31">
        <f t="shared" si="2"/>
        <v>344920.01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-203624</v>
      </c>
      <c r="L15" s="21">
        <f t="shared" si="4"/>
        <v>846376</v>
      </c>
      <c r="M15" s="21">
        <f t="shared" si="4"/>
        <v>846376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-153624</v>
      </c>
      <c r="L16" s="32">
        <f>IFERROR(VLOOKUP(G16,'Base Zero'!$A:$L,10,FALSE),0)</f>
        <v>846376</v>
      </c>
      <c r="M16" s="32">
        <f>+L16-N16</f>
        <v>846376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-50000</v>
      </c>
      <c r="L17" s="32">
        <f>IFERROR(VLOOKUP(G17,'Base Zero'!$A:$L,10,FALSE),0)</f>
        <v>0</v>
      </c>
      <c r="M17" s="32">
        <f>+L17-N17</f>
        <v>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1747722</v>
      </c>
      <c r="L20" s="21">
        <f t="shared" si="5"/>
        <v>2297722</v>
      </c>
      <c r="M20" s="21">
        <f t="shared" si="5"/>
        <v>0</v>
      </c>
      <c r="N20" s="21">
        <f t="shared" si="5"/>
        <v>2297722</v>
      </c>
      <c r="O20" s="21">
        <f t="shared" si="5"/>
        <v>2297342.8200000003</v>
      </c>
      <c r="P20" s="228">
        <f t="shared" si="5"/>
        <v>379.17999999993481</v>
      </c>
      <c r="Q20" s="21">
        <f t="shared" si="5"/>
        <v>0</v>
      </c>
      <c r="R20" s="21">
        <f t="shared" si="5"/>
        <v>2297342.8200000003</v>
      </c>
      <c r="S20" s="21">
        <f t="shared" si="5"/>
        <v>2297342.8200000003</v>
      </c>
      <c r="T20" s="21">
        <f t="shared" si="5"/>
        <v>2297342.8200000003</v>
      </c>
      <c r="U20" s="154">
        <f>+IFERROR((R20/N20),0%)</f>
        <v>0.99983497568461299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1453624</v>
      </c>
      <c r="L21" s="32">
        <f>IFERROR(VLOOKUP(G21,'Base Zero'!$A:$L,10,FALSE),0)</f>
        <v>1953624</v>
      </c>
      <c r="M21" s="32">
        <f>+L21-N21</f>
        <v>0</v>
      </c>
      <c r="N21" s="32">
        <f>IFERROR(VLOOKUP(G21,'Base Zero'!$A:$P,16,FALSE),0)</f>
        <v>1953624</v>
      </c>
      <c r="O21" s="32">
        <f>IFERROR(VLOOKUP(G21,'Base Execução'!A:M,6,FALSE),0)+IFERROR(VLOOKUP(G21,'Destaque Liberado pela CPRM'!A:F,6,FALSE),0)</f>
        <v>1953622.81</v>
      </c>
      <c r="P21" s="231">
        <f>+N21-O21</f>
        <v>1.1899999999441206</v>
      </c>
      <c r="Q21" s="32"/>
      <c r="R21" s="231">
        <f>IFERROR(VLOOKUP(G21,'Base Execução'!$A:$K,7,FALSE),0)</f>
        <v>1953622.81</v>
      </c>
      <c r="S21" s="231">
        <f>IFERROR(VLOOKUP(G21,'Base Execução'!$A:$K,9,FALSE),0)</f>
        <v>1953622.81</v>
      </c>
      <c r="T21" s="32">
        <f>IFERROR(VLOOKUP(G21,'Base Execução'!$A:$K,11,FALSE),0)</f>
        <v>1953622.81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343720.01</v>
      </c>
      <c r="P22" s="231">
        <f>+N22-O22</f>
        <v>377.98999999999069</v>
      </c>
      <c r="Q22" s="32"/>
      <c r="R22" s="231">
        <f>IFERROR(VLOOKUP(G22,'Base Execução'!$A:$K,7,FALSE),0)</f>
        <v>343720.01</v>
      </c>
      <c r="S22" s="231">
        <f>IFERROR(VLOOKUP(G22,'Base Execução'!$A:$K,9,FALSE),0)</f>
        <v>343720.01</v>
      </c>
      <c r="T22" s="32">
        <f>IFERROR(VLOOKUP(G22,'Base Execução'!$A:$K,11,FALSE),0)</f>
        <v>343720.01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168544.37</v>
      </c>
      <c r="P25" s="228">
        <f t="shared" si="6"/>
        <v>138175.63</v>
      </c>
      <c r="Q25" s="21">
        <f t="shared" si="6"/>
        <v>0</v>
      </c>
      <c r="R25" s="21">
        <f t="shared" si="6"/>
        <v>168544.37</v>
      </c>
      <c r="S25" s="21">
        <f t="shared" si="6"/>
        <v>168544.37</v>
      </c>
      <c r="T25" s="21">
        <f t="shared" si="6"/>
        <v>168544.37</v>
      </c>
      <c r="U25" s="154">
        <f>+IFERROR((R25/N25),0%)</f>
        <v>0.54950564032342197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167344.37</v>
      </c>
      <c r="P26" s="231">
        <f>+N26-O26</f>
        <v>132655.63</v>
      </c>
      <c r="Q26" s="32"/>
      <c r="R26" s="231">
        <f>IFERROR(VLOOKUP(G26,'Base Execução'!$A:$K,7,FALSE),0)</f>
        <v>167344.37</v>
      </c>
      <c r="S26" s="231">
        <f>IFERROR(VLOOKUP(G26,'Base Execução'!$A:$K,9,FALSE),0)</f>
        <v>167344.37</v>
      </c>
      <c r="T26" s="32">
        <f>IFERROR(VLOOKUP(G26,'Base Execução'!$A:$K,11,FALSE),0)</f>
        <v>167344.37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1200</v>
      </c>
      <c r="P27" s="231">
        <f>+N27-O27</f>
        <v>5520</v>
      </c>
      <c r="Q27" s="35"/>
      <c r="R27" s="231">
        <f>IFERROR(VLOOKUP(G27,'Base Execução'!$A:$K,7,FALSE),0)</f>
        <v>1200</v>
      </c>
      <c r="S27" s="231">
        <f>IFERROR(VLOOKUP(G27,'Base Execução'!$A:$K,9,FALSE),0)</f>
        <v>1200</v>
      </c>
      <c r="T27" s="32">
        <f>IFERROR(VLOOKUP(G27,'Base Execução'!$A:$K,11,FALSE),0)</f>
        <v>1200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221969.09</v>
      </c>
      <c r="P29" s="26">
        <f t="shared" si="7"/>
        <v>130898.91</v>
      </c>
      <c r="Q29" s="22">
        <f t="shared" si="7"/>
        <v>0</v>
      </c>
      <c r="R29" s="26">
        <f t="shared" si="7"/>
        <v>221969.09</v>
      </c>
      <c r="S29" s="26">
        <f t="shared" si="7"/>
        <v>213482.57</v>
      </c>
      <c r="T29" s="26">
        <f t="shared" si="7"/>
        <v>213482.57</v>
      </c>
      <c r="U29" s="156">
        <f>+IFERROR((R29/N29),0%)</f>
        <v>0.62904284321616011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221969.09</v>
      </c>
      <c r="P31" s="32">
        <f t="shared" si="8"/>
        <v>130898.91</v>
      </c>
      <c r="Q31" s="32">
        <f t="shared" si="8"/>
        <v>0</v>
      </c>
      <c r="R31" s="32">
        <f t="shared" si="8"/>
        <v>221969.09</v>
      </c>
      <c r="S31" s="32">
        <f t="shared" si="8"/>
        <v>213482.57</v>
      </c>
      <c r="T31" s="32">
        <f t="shared" si="8"/>
        <v>213482.57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221969.09</v>
      </c>
      <c r="P34" s="228">
        <f t="shared" si="9"/>
        <v>130898.91</v>
      </c>
      <c r="Q34" s="21">
        <f t="shared" si="9"/>
        <v>0</v>
      </c>
      <c r="R34" s="21">
        <f t="shared" si="9"/>
        <v>221969.09</v>
      </c>
      <c r="S34" s="21">
        <f t="shared" si="9"/>
        <v>213482.57</v>
      </c>
      <c r="T34" s="21">
        <f t="shared" si="9"/>
        <v>213482.57</v>
      </c>
      <c r="U34" s="154">
        <f>+IFERROR((R34/N34),0%)</f>
        <v>0.62904284321616011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221969.09</v>
      </c>
      <c r="P35" s="231">
        <f>+N35-O35</f>
        <v>130898.91</v>
      </c>
      <c r="Q35" s="32"/>
      <c r="R35" s="231">
        <f>IFERROR(VLOOKUP(G35,'Base Execução'!$A:$K,7,FALSE),0)</f>
        <v>221969.09</v>
      </c>
      <c r="S35" s="231">
        <f>IFERROR(VLOOKUP(G35,'Base Execução'!$A:$K,9,FALSE),0)</f>
        <v>213482.57</v>
      </c>
      <c r="T35" s="32">
        <f>IFERROR(VLOOKUP(G35,'Base Execução'!$A:$K,11,FALSE),0)</f>
        <v>213482.57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33549907.489999998</v>
      </c>
      <c r="P65" s="26">
        <f t="shared" si="20"/>
        <v>1450092.5100000012</v>
      </c>
      <c r="Q65" s="35">
        <f>SUM(Q69:Q72)</f>
        <v>0</v>
      </c>
      <c r="R65" s="26">
        <f t="shared" si="20"/>
        <v>32627757.16</v>
      </c>
      <c r="S65" s="26">
        <f t="shared" si="20"/>
        <v>18337771.900000002</v>
      </c>
      <c r="T65" s="26">
        <f t="shared" si="20"/>
        <v>17676930.329999998</v>
      </c>
      <c r="U65" s="156">
        <f>+IFERROR((R65/N65),0%)</f>
        <v>0.93222163314285711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3950000</v>
      </c>
      <c r="P67" s="32">
        <f t="shared" si="22"/>
        <v>1000000</v>
      </c>
      <c r="Q67" s="319"/>
      <c r="R67" s="32">
        <f t="shared" si="22"/>
        <v>3950000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28807714.719999999</v>
      </c>
      <c r="P69" s="231">
        <f t="shared" si="24"/>
        <v>442285.28000000119</v>
      </c>
      <c r="Q69" s="32">
        <f t="shared" si="24"/>
        <v>0</v>
      </c>
      <c r="R69" s="32">
        <f t="shared" si="24"/>
        <v>27927456.390000001</v>
      </c>
      <c r="S69" s="32">
        <f t="shared" si="24"/>
        <v>18093024.010000002</v>
      </c>
      <c r="T69" s="32">
        <f t="shared" si="24"/>
        <v>17433434.809999999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792192.77</v>
      </c>
      <c r="P70" s="231">
        <f t="shared" si="25"/>
        <v>7807.2299999999814</v>
      </c>
      <c r="Q70" s="32">
        <f t="shared" si="25"/>
        <v>0</v>
      </c>
      <c r="R70" s="32">
        <f t="shared" si="25"/>
        <v>750300.77</v>
      </c>
      <c r="S70" s="32">
        <f t="shared" si="25"/>
        <v>244747.89</v>
      </c>
      <c r="T70" s="32">
        <f t="shared" si="25"/>
        <v>243495.52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33549907.489999998</v>
      </c>
      <c r="P75" s="228">
        <f t="shared" si="28"/>
        <v>1450092.5100000012</v>
      </c>
      <c r="Q75" s="21">
        <f>SUM(Q78:Q81)</f>
        <v>0</v>
      </c>
      <c r="R75" s="21">
        <f>SUM(R76:R81)</f>
        <v>32627757.16</v>
      </c>
      <c r="S75" s="21">
        <f>SUM(S76:S81)</f>
        <v>18337771.900000002</v>
      </c>
      <c r="T75" s="21">
        <f>SUM(T76:T81)</f>
        <v>17676930.329999998</v>
      </c>
      <c r="U75" s="154">
        <f>+IFERROR((R75/N75),0%)</f>
        <v>0.93222163314285711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3950000</v>
      </c>
      <c r="P76" s="231">
        <f t="shared" ref="P76:P81" si="33">+N76-O76</f>
        <v>1000000</v>
      </c>
      <c r="Q76" s="21"/>
      <c r="R76" s="231">
        <f>IFERROR(VLOOKUP(G76,'Base Execução'!$A:$K,7,FALSE),0)</f>
        <v>3950000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28807714.719999999</v>
      </c>
      <c r="P78" s="231">
        <f t="shared" si="33"/>
        <v>442285.28000000119</v>
      </c>
      <c r="Q78" s="320"/>
      <c r="R78" s="231">
        <f>IFERROR(VLOOKUP(G78,'Base Execução'!$A:$K,7,FALSE),0)</f>
        <v>27927456.390000001</v>
      </c>
      <c r="S78" s="231">
        <f>IFERROR(VLOOKUP(G78,'Base Execução'!$A:$K,9,FALSE),0)</f>
        <v>18093024.010000002</v>
      </c>
      <c r="T78" s="32">
        <f>IFERROR(VLOOKUP(G78,'Base Execução'!$A:$K,11,FALSE),0)</f>
        <v>17433434.809999999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792192.77</v>
      </c>
      <c r="P79" s="231">
        <f t="shared" si="33"/>
        <v>7807.2299999999814</v>
      </c>
      <c r="Q79" s="320"/>
      <c r="R79" s="231">
        <f>IFERROR(VLOOKUP(G79,'Base Execução'!$A:$K,7,FALSE),0)</f>
        <v>750300.77</v>
      </c>
      <c r="S79" s="231">
        <f>IFERROR(VLOOKUP(G79,'Base Execução'!$A:$K,9,FALSE),0)</f>
        <v>244747.89</v>
      </c>
      <c r="T79" s="32">
        <f>IFERROR(VLOOKUP(G79,'Base Execução'!$A:$K,11,FALSE),0)</f>
        <v>243495.52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22191430.579999998</v>
      </c>
      <c r="P83" s="26">
        <f t="shared" si="34"/>
        <v>4397676.42</v>
      </c>
      <c r="Q83" s="22">
        <f>Q85</f>
        <v>0</v>
      </c>
      <c r="R83" s="26">
        <f t="shared" si="34"/>
        <v>22097509.220000003</v>
      </c>
      <c r="S83" s="26">
        <f t="shared" si="34"/>
        <v>15988634.539999999</v>
      </c>
      <c r="T83" s="26">
        <f t="shared" si="34"/>
        <v>15658406.18</v>
      </c>
      <c r="U83" s="156">
        <f>+IFERROR((R83/N83),0%)</f>
        <v>0.831073763402434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22191430.579999998</v>
      </c>
      <c r="P86" s="32">
        <f t="shared" si="36"/>
        <v>4397676.42</v>
      </c>
      <c r="Q86" s="32"/>
      <c r="R86" s="32">
        <f t="shared" si="36"/>
        <v>22097509.220000003</v>
      </c>
      <c r="S86" s="32">
        <f t="shared" si="36"/>
        <v>15988634.539999999</v>
      </c>
      <c r="T86" s="32">
        <f t="shared" si="36"/>
        <v>15658406.18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21618362.5</v>
      </c>
      <c r="P89" s="21">
        <f t="shared" si="37"/>
        <v>3972777.5</v>
      </c>
      <c r="Q89" s="21">
        <f>Q90</f>
        <v>0</v>
      </c>
      <c r="R89" s="21">
        <f>SUM(R90:R91)</f>
        <v>21603386.280000001</v>
      </c>
      <c r="S89" s="21">
        <f>SUM(S90:S91)</f>
        <v>15579323.34</v>
      </c>
      <c r="T89" s="21">
        <f>SUM(T90:T91)</f>
        <v>15255932.08</v>
      </c>
      <c r="U89" s="154">
        <f>+IFERROR((R89/N89),0%)</f>
        <v>0.84417444006011455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21618362.5</v>
      </c>
      <c r="P91" s="231">
        <f>+N91-O91</f>
        <v>3972777.5</v>
      </c>
      <c r="Q91" s="32"/>
      <c r="R91" s="231">
        <f>IFERROR(VLOOKUP(G91,'Base Execução'!$A:$K,7,FALSE),0)</f>
        <v>21603386.280000001</v>
      </c>
      <c r="S91" s="231">
        <f>IFERROR(VLOOKUP(G91,'Base Execução'!$A:$K,9,FALSE),0)</f>
        <v>15579323.34</v>
      </c>
      <c r="T91" s="32">
        <f>IFERROR(VLOOKUP(G91,'Base Execução'!$A:$K,11,FALSE),0)</f>
        <v>15255932.08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573068.07999999996</v>
      </c>
      <c r="P93" s="21">
        <f t="shared" si="38"/>
        <v>424898.92000000004</v>
      </c>
      <c r="Q93" s="21">
        <f t="shared" ref="Q93" si="39">Q94</f>
        <v>0</v>
      </c>
      <c r="R93" s="21">
        <f t="shared" ref="R93" si="40">SUM(R94:R95)</f>
        <v>494122.94</v>
      </c>
      <c r="S93" s="21">
        <f t="shared" ref="S93" si="41">SUM(S94:S95)</f>
        <v>409311.2</v>
      </c>
      <c r="T93" s="21">
        <f t="shared" ref="T93" si="42">SUM(T94:T95)</f>
        <v>402474.1</v>
      </c>
      <c r="U93" s="154">
        <f>+IFERROR((R93/N93),0%)</f>
        <v>0.49512953835146856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573068.07999999996</v>
      </c>
      <c r="P95" s="231">
        <f>+N95-O95</f>
        <v>424898.92000000004</v>
      </c>
      <c r="Q95" s="31"/>
      <c r="R95" s="231">
        <f>IFERROR(VLOOKUP(G95,'Base Execução'!$A:$K,7,FALSE),0)</f>
        <v>494122.94</v>
      </c>
      <c r="S95" s="231">
        <f>IFERROR(VLOOKUP(G95,'Base Execução'!$A:$K,9,FALSE),0)</f>
        <v>409311.2</v>
      </c>
      <c r="T95" s="32">
        <f>IFERROR(VLOOKUP(G95,'Base Execução'!$A:$K,11,FALSE),0)</f>
        <v>402474.1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14669200.189999999</v>
      </c>
      <c r="P97" s="26">
        <f>SUM(P99:P101)</f>
        <v>5142216.8099999996</v>
      </c>
      <c r="Q97" s="22">
        <f>Q99</f>
        <v>0</v>
      </c>
      <c r="R97" s="26">
        <f t="shared" si="43"/>
        <v>14639906.66</v>
      </c>
      <c r="S97" s="26">
        <f t="shared" si="43"/>
        <v>10820538.619999999</v>
      </c>
      <c r="T97" s="26">
        <f t="shared" si="43"/>
        <v>10820318.279999999</v>
      </c>
      <c r="U97" s="156">
        <f>+IFERROR((R97/N97),0%)</f>
        <v>0.73896312717056034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14669200.189999999</v>
      </c>
      <c r="P99" s="32">
        <f>P105+P112+P119+P122</f>
        <v>5142216.8099999996</v>
      </c>
      <c r="Q99" s="32">
        <f>Q105+Q112+Q119</f>
        <v>0</v>
      </c>
      <c r="R99" s="32">
        <f t="shared" si="44"/>
        <v>14639906.66</v>
      </c>
      <c r="S99" s="32">
        <f t="shared" si="44"/>
        <v>10820538.619999999</v>
      </c>
      <c r="T99" s="32">
        <f t="shared" si="44"/>
        <v>10820318.279999999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890994.32</v>
      </c>
      <c r="P103" s="21">
        <f t="shared" si="47"/>
        <v>1058507.6800000002</v>
      </c>
      <c r="Q103" s="31"/>
      <c r="R103" s="21">
        <f>R104+R107</f>
        <v>873875.4</v>
      </c>
      <c r="S103" s="21">
        <f>S104+S107</f>
        <v>871994.08</v>
      </c>
      <c r="T103" s="21">
        <f>T104+T107</f>
        <v>871994.08</v>
      </c>
      <c r="U103" s="154">
        <f>+IFERROR((R103/N103),0%)</f>
        <v>0.44825570838090961</v>
      </c>
    </row>
    <row r="104" spans="1:33" ht="15" customHeight="1" x14ac:dyDescent="0.2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890994.32</v>
      </c>
      <c r="P104" s="228">
        <f>P105+P106</f>
        <v>1058507.6800000002</v>
      </c>
      <c r="Q104" s="21">
        <f>Q105</f>
        <v>0</v>
      </c>
      <c r="R104" s="21">
        <f>R105+R106</f>
        <v>873875.4</v>
      </c>
      <c r="S104" s="21">
        <f>S105+S106</f>
        <v>871994.08</v>
      </c>
      <c r="T104" s="21">
        <f>T105+T106</f>
        <v>871994.08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890994.32</v>
      </c>
      <c r="P105" s="231">
        <f>+N105-O105</f>
        <v>1058507.6800000002</v>
      </c>
      <c r="Q105" s="33"/>
      <c r="R105" s="231">
        <f>IFERROR(VLOOKUP(G105,'Base Execução'!$A:$K,7,FALSE),0)</f>
        <v>873875.4</v>
      </c>
      <c r="S105" s="231">
        <f>IFERROR(VLOOKUP(G105,'Base Execução'!$A:$K,9,FALSE),0)</f>
        <v>871994.08</v>
      </c>
      <c r="T105" s="32">
        <f>IFERROR(VLOOKUP(G105,'Base Execução'!$A:$K,11,FALSE),0)</f>
        <v>871994.08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132799.54999999999</v>
      </c>
      <c r="P110" s="21">
        <f t="shared" si="50"/>
        <v>100377.45000000001</v>
      </c>
      <c r="Q110" s="33"/>
      <c r="R110" s="21">
        <f>R111+R114</f>
        <v>120624.94</v>
      </c>
      <c r="S110" s="21">
        <f>S111+S114</f>
        <v>120007.1</v>
      </c>
      <c r="T110" s="21">
        <f>T111+T114</f>
        <v>119786.76</v>
      </c>
      <c r="U110" s="154">
        <f>+IFERROR((R110/N110),0%)</f>
        <v>0.51731062669131178</v>
      </c>
    </row>
    <row r="111" spans="1:33" ht="15" customHeight="1" x14ac:dyDescent="0.2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132799.54999999999</v>
      </c>
      <c r="P111" s="228">
        <f>P112+P113</f>
        <v>100377.45000000001</v>
      </c>
      <c r="Q111" s="21">
        <f t="shared" si="51"/>
        <v>0</v>
      </c>
      <c r="R111" s="21">
        <f>R112+R113</f>
        <v>120624.94</v>
      </c>
      <c r="S111" s="21">
        <f>S112+S113</f>
        <v>120007.1</v>
      </c>
      <c r="T111" s="21">
        <f>T112+T113</f>
        <v>119786.76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132799.54999999999</v>
      </c>
      <c r="P112" s="231">
        <f>+N112-O112</f>
        <v>100377.45000000001</v>
      </c>
      <c r="Q112" s="33"/>
      <c r="R112" s="231">
        <f>IFERROR(VLOOKUP(G112,'Base Execução'!$A:$K,7,FALSE),0)</f>
        <v>120624.94</v>
      </c>
      <c r="S112" s="231">
        <f>IFERROR(VLOOKUP(G112,'Base Execução'!$A:$K,9,FALSE),0)</f>
        <v>120007.1</v>
      </c>
      <c r="T112" s="32">
        <f>IFERROR(VLOOKUP(G112,'Base Execução'!$A:$K,11,FALSE),0)</f>
        <v>119786.76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9828537.4399999995</v>
      </c>
      <c r="T117" s="21">
        <f>T118+T121</f>
        <v>9828537.4399999995</v>
      </c>
      <c r="U117" s="154">
        <f>+IFERROR((R117/N117),0%)</f>
        <v>0.77404328772711928</v>
      </c>
    </row>
    <row r="118" spans="1:33" ht="15" customHeight="1" x14ac:dyDescent="0.2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9828537.4399999995</v>
      </c>
      <c r="T118" s="21">
        <f>T119+T120</f>
        <v>9828537.4399999995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9828537.4399999995</v>
      </c>
      <c r="T119" s="32">
        <f>IFERROR(VLOOKUP(G119,'Base Execução'!$A:$K,11,FALSE),0)</f>
        <v>9828537.4399999995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257395931.94</v>
      </c>
      <c r="P125" s="26">
        <f t="shared" si="56"/>
        <v>86267571.060000002</v>
      </c>
      <c r="Q125" s="22">
        <f>Q127</f>
        <v>0</v>
      </c>
      <c r="R125" s="26">
        <f t="shared" si="56"/>
        <v>256021299.15000001</v>
      </c>
      <c r="S125" s="26">
        <f t="shared" si="56"/>
        <v>254747414.47</v>
      </c>
      <c r="T125" s="26">
        <f t="shared" si="56"/>
        <v>246787306.91</v>
      </c>
      <c r="U125" s="156">
        <f>+IFERROR((R125/N125),0%)</f>
        <v>0.7449766906147145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257395931.94</v>
      </c>
      <c r="P127" s="32">
        <f t="shared" si="57"/>
        <v>86267571.060000002</v>
      </c>
      <c r="Q127" s="32">
        <f>Q133</f>
        <v>0</v>
      </c>
      <c r="R127" s="32">
        <f>R133+R136</f>
        <v>256021299.15000001</v>
      </c>
      <c r="S127" s="32">
        <f>S133+S136</f>
        <v>254747414.47</v>
      </c>
      <c r="T127" s="32">
        <f>T133+T136</f>
        <v>246787306.91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257395931.94</v>
      </c>
      <c r="P131" s="21">
        <f t="shared" si="60"/>
        <v>86267571.060000002</v>
      </c>
      <c r="Q131" s="21">
        <f t="shared" si="60"/>
        <v>0</v>
      </c>
      <c r="R131" s="21">
        <f>R132+R135</f>
        <v>256021299.15000001</v>
      </c>
      <c r="S131" s="21">
        <f>S132+S135</f>
        <v>254747414.47</v>
      </c>
      <c r="T131" s="21">
        <f>T132+T135</f>
        <v>246787306.91</v>
      </c>
      <c r="U131" s="154">
        <f>+IFERROR((R131/N131),0%)</f>
        <v>0.7449766906147145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257395931.94</v>
      </c>
      <c r="P132" s="21">
        <f t="shared" si="61"/>
        <v>86267571.060000002</v>
      </c>
      <c r="Q132" s="21">
        <f>Q133</f>
        <v>0</v>
      </c>
      <c r="R132" s="21">
        <f>R133+R134</f>
        <v>256021299.15000001</v>
      </c>
      <c r="S132" s="21">
        <f>S133+S134</f>
        <v>254747414.47</v>
      </c>
      <c r="T132" s="21">
        <f>T133+T134</f>
        <v>246787306.91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257395931.94</v>
      </c>
      <c r="P133" s="231">
        <f>+N133-O133</f>
        <v>86267571.060000002</v>
      </c>
      <c r="Q133" s="32"/>
      <c r="R133" s="231">
        <f>IFERROR(VLOOKUP(G133,'Base Execução'!$A:$K,7,FALSE),0)</f>
        <v>256021299.15000001</v>
      </c>
      <c r="S133" s="231">
        <f>IFERROR(VLOOKUP(G133,'Base Execução'!$A:$K,9,FALSE),0)</f>
        <v>254747414.47</v>
      </c>
      <c r="T133" s="32">
        <f>IFERROR(VLOOKUP(G133,'Base Execução'!$A:$K,11,FALSE),0)</f>
        <v>246787306.91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1269871.25</v>
      </c>
      <c r="P139" s="26">
        <f t="shared" si="63"/>
        <v>9296.75</v>
      </c>
      <c r="Q139" s="22">
        <f t="shared" si="63"/>
        <v>0</v>
      </c>
      <c r="R139" s="26">
        <f t="shared" si="63"/>
        <v>1067838.54</v>
      </c>
      <c r="S139" s="26">
        <f t="shared" si="63"/>
        <v>790066.93</v>
      </c>
      <c r="T139" s="26">
        <f t="shared" si="63"/>
        <v>778072.03</v>
      </c>
      <c r="U139" s="156">
        <f>+IFERROR((R139/N139),0%)</f>
        <v>0.83479147383299146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1124871.25</v>
      </c>
      <c r="P141" s="32">
        <f t="shared" si="64"/>
        <v>9296.75</v>
      </c>
      <c r="Q141" s="32">
        <f t="shared" si="64"/>
        <v>0</v>
      </c>
      <c r="R141" s="32">
        <f t="shared" si="64"/>
        <v>922838.54</v>
      </c>
      <c r="S141" s="32">
        <f t="shared" si="64"/>
        <v>790066.93</v>
      </c>
      <c r="T141" s="32">
        <f t="shared" si="64"/>
        <v>778072.03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1269871.25</v>
      </c>
      <c r="P145" s="228">
        <f t="shared" si="66"/>
        <v>9296.75</v>
      </c>
      <c r="Q145" s="21">
        <f t="shared" si="66"/>
        <v>0</v>
      </c>
      <c r="R145" s="21">
        <f t="shared" si="66"/>
        <v>1067838.54</v>
      </c>
      <c r="S145" s="21">
        <f t="shared" si="66"/>
        <v>790066.93</v>
      </c>
      <c r="T145" s="21">
        <f t="shared" si="66"/>
        <v>778072.03</v>
      </c>
      <c r="U145" s="154">
        <f>+IFERROR((R145/N145),0%)</f>
        <v>0.83479147383299146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1124871.25</v>
      </c>
      <c r="P146" s="231">
        <f>+N146-O146</f>
        <v>9296.75</v>
      </c>
      <c r="Q146" s="32"/>
      <c r="R146" s="231">
        <f>IFERROR(VLOOKUP(G146,'Base Execução'!$A:$K,7,FALSE),0)</f>
        <v>922838.54</v>
      </c>
      <c r="S146" s="231">
        <f>IFERROR(VLOOKUP(G146,'Base Execução'!$A:$K,9,FALSE),0)</f>
        <v>790066.93</v>
      </c>
      <c r="T146" s="32">
        <f>IFERROR(VLOOKUP(G146,'Base Execução'!$A:$K,11,FALSE),0)</f>
        <v>778072.03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15007882.470000001</v>
      </c>
      <c r="P149" s="230">
        <f t="shared" si="67"/>
        <v>1573328.5300000003</v>
      </c>
      <c r="Q149" s="35"/>
      <c r="R149" s="230">
        <f>+R151+R152</f>
        <v>12173405.069999998</v>
      </c>
      <c r="S149" s="230">
        <f>+S151+S152</f>
        <v>1735230.79</v>
      </c>
      <c r="T149" s="26">
        <f>+T151+T152</f>
        <v>1663547.7800000003</v>
      </c>
      <c r="U149" s="156">
        <f>+IFERROR((R149/N149),0%)</f>
        <v>0.73416863641624241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14726672.41</v>
      </c>
      <c r="P151" s="32">
        <f t="shared" si="68"/>
        <v>1573327.5900000003</v>
      </c>
      <c r="Q151" s="32">
        <f t="shared" si="68"/>
        <v>0</v>
      </c>
      <c r="R151" s="32">
        <f t="shared" si="68"/>
        <v>11892456.069999998</v>
      </c>
      <c r="S151" s="32">
        <f t="shared" si="68"/>
        <v>1454281.79</v>
      </c>
      <c r="T151" s="32">
        <f t="shared" si="68"/>
        <v>1397923.2600000002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265624.52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751084.66999999993</v>
      </c>
      <c r="P155" s="228">
        <f t="shared" si="70"/>
        <v>30126.330000000016</v>
      </c>
      <c r="Q155" s="21">
        <f t="shared" si="70"/>
        <v>0</v>
      </c>
      <c r="R155" s="21">
        <f t="shared" si="70"/>
        <v>722098.05</v>
      </c>
      <c r="S155" s="21">
        <f t="shared" si="70"/>
        <v>639297.91999999993</v>
      </c>
      <c r="T155" s="21">
        <f t="shared" si="70"/>
        <v>618838.02</v>
      </c>
      <c r="U155" s="154">
        <f>+IFERROR((R155/N155),0%)</f>
        <v>0.92433164663580014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469874.61</v>
      </c>
      <c r="P156" s="231">
        <f>+N156-O156</f>
        <v>30125.390000000014</v>
      </c>
      <c r="Q156" s="33"/>
      <c r="R156" s="231">
        <f>IFERROR(VLOOKUP(G156,'Base Execução'!$A:$K,7,FALSE),0)</f>
        <v>441149.05</v>
      </c>
      <c r="S156" s="231">
        <f>IFERROR(VLOOKUP(G156,'Base Execução'!$A:$K,9,FALSE),0)</f>
        <v>358348.92</v>
      </c>
      <c r="T156" s="32">
        <f>IFERROR(VLOOKUP(G156,'Base Execução'!$A:$K,11,FALSE),0)</f>
        <v>353213.5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265624.52</v>
      </c>
      <c r="U157" s="298"/>
      <c r="V157" s="366"/>
    </row>
    <row r="158" spans="1:33" ht="15" customHeight="1" x14ac:dyDescent="0.2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30881.08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30881.08</v>
      </c>
      <c r="U160" s="155"/>
      <c r="V160" s="366"/>
    </row>
    <row r="161" spans="1:22" ht="15" customHeight="1" x14ac:dyDescent="0.2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13489999.689999999</v>
      </c>
      <c r="P168" s="228">
        <f t="shared" si="74"/>
        <v>1410000.3100000005</v>
      </c>
      <c r="Q168" s="21">
        <f t="shared" si="74"/>
        <v>0</v>
      </c>
      <c r="R168" s="21">
        <f t="shared" si="74"/>
        <v>10789999.689999999</v>
      </c>
      <c r="S168" s="21">
        <f t="shared" si="74"/>
        <v>900833.17</v>
      </c>
      <c r="T168" s="21">
        <f t="shared" si="74"/>
        <v>849623.38</v>
      </c>
      <c r="U168" s="154">
        <f>+IFERROR((R168/N168),0%)</f>
        <v>0.72416105302013423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13489999.689999999</v>
      </c>
      <c r="P169" s="231">
        <f>+N169-O169</f>
        <v>1410000.3100000005</v>
      </c>
      <c r="Q169" s="33"/>
      <c r="R169" s="231">
        <f>IFERROR(VLOOKUP(G169,'Base Execução'!$A:$K,7,FALSE),0)</f>
        <v>10789999.689999999</v>
      </c>
      <c r="S169" s="231">
        <f>IFERROR(VLOOKUP(G169,'Base Execução'!$A:$K,9,FALSE),0)</f>
        <v>900833.17</v>
      </c>
      <c r="T169" s="32">
        <f>IFERROR(VLOOKUP(G169,'Base Execução'!$A:$K,11,FALSE),0)</f>
        <v>849623.38</v>
      </c>
      <c r="U169" s="280"/>
      <c r="V169" s="366"/>
    </row>
    <row r="170" spans="1:22" ht="15" customHeight="1" x14ac:dyDescent="0.2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273739.64</v>
      </c>
      <c r="P180" s="228">
        <f t="shared" si="78"/>
        <v>126260.35999999999</v>
      </c>
      <c r="Q180" s="21">
        <f t="shared" si="78"/>
        <v>0</v>
      </c>
      <c r="R180" s="21">
        <f t="shared" si="78"/>
        <v>168248.86</v>
      </c>
      <c r="S180" s="21">
        <f t="shared" si="78"/>
        <v>138731.46</v>
      </c>
      <c r="T180" s="21">
        <f t="shared" si="78"/>
        <v>138718.14000000001</v>
      </c>
      <c r="U180" s="154">
        <f>+IFERROR((R180/N180),0%)</f>
        <v>0.42062214999999997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273739.64</v>
      </c>
      <c r="P181" s="231">
        <f>+N181-O181</f>
        <v>126260.35999999999</v>
      </c>
      <c r="Q181" s="35"/>
      <c r="R181" s="231">
        <f>IFERROR(VLOOKUP(G181,'Base Execução'!$A:$K,7,FALSE),0)</f>
        <v>168248.86</v>
      </c>
      <c r="S181" s="231">
        <f>IFERROR(VLOOKUP(G181,'Base Execução'!$A:$K,9,FALSE),0)</f>
        <v>138731.46</v>
      </c>
      <c r="T181" s="32">
        <f>IFERROR(VLOOKUP(G181,'Base Execução'!$A:$K,11,FALSE),0)</f>
        <v>138718.14000000001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4040540.3200000003</v>
      </c>
      <c r="P183" s="26">
        <f t="shared" si="79"/>
        <v>370384.68000000005</v>
      </c>
      <c r="Q183" s="35">
        <f>SUM(Q185:Q187)</f>
        <v>0</v>
      </c>
      <c r="R183" s="26">
        <f t="shared" si="79"/>
        <v>3269265.07</v>
      </c>
      <c r="S183" s="26">
        <f t="shared" si="79"/>
        <v>1524731.22</v>
      </c>
      <c r="T183" s="26">
        <f t="shared" si="79"/>
        <v>1456458.98</v>
      </c>
      <c r="U183" s="156">
        <f>+IFERROR((R183/N183),0%)</f>
        <v>0.74117448607718328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2312861.35</v>
      </c>
      <c r="P185" s="32">
        <f t="shared" si="80"/>
        <v>37138.649999999994</v>
      </c>
      <c r="Q185" s="32">
        <f t="shared" si="80"/>
        <v>0</v>
      </c>
      <c r="R185" s="32">
        <f t="shared" si="80"/>
        <v>2132178.17</v>
      </c>
      <c r="S185" s="32">
        <f t="shared" si="80"/>
        <v>1077866.49</v>
      </c>
      <c r="T185" s="32">
        <f t="shared" si="80"/>
        <v>1021583.28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697429.08000000007</v>
      </c>
      <c r="S186" s="32">
        <f t="shared" si="81"/>
        <v>8640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540347.97</v>
      </c>
      <c r="P187" s="32">
        <f t="shared" si="83"/>
        <v>259652.03000000003</v>
      </c>
      <c r="Q187" s="32">
        <f t="shared" ref="Q187" si="84">Q194</f>
        <v>0</v>
      </c>
      <c r="R187" s="32">
        <f t="shared" si="83"/>
        <v>439657.82</v>
      </c>
      <c r="S187" s="32">
        <f t="shared" si="83"/>
        <v>438224.73</v>
      </c>
      <c r="T187" s="32">
        <f t="shared" si="83"/>
        <v>434875.7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162861.35</v>
      </c>
      <c r="P191" s="21">
        <f t="shared" si="86"/>
        <v>37138.649999999994</v>
      </c>
      <c r="Q191" s="21">
        <f>SUM(Q192:Q194)</f>
        <v>0</v>
      </c>
      <c r="R191" s="21">
        <f>SUM(R192:R195)</f>
        <v>144037.25</v>
      </c>
      <c r="S191" s="21">
        <f>SUM(S192:S195)</f>
        <v>120266.43</v>
      </c>
      <c r="T191" s="21">
        <f>SUM(T192:T195)</f>
        <v>116792.16</v>
      </c>
      <c r="U191" s="154">
        <f>+IFERROR((R191/N191),0%)</f>
        <v>0.72018625000000003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162861.35</v>
      </c>
      <c r="P192" s="231">
        <f>+N192-O192</f>
        <v>37138.649999999994</v>
      </c>
      <c r="Q192" s="296"/>
      <c r="R192" s="231">
        <f>IFERROR(VLOOKUP(G192,'Base Execução'!$A:$K,7,FALSE),0)</f>
        <v>144037.25</v>
      </c>
      <c r="S192" s="231">
        <f>IFERROR(VLOOKUP(G192,'Base Execução'!$A:$K,9,FALSE),0)</f>
        <v>120266.43</v>
      </c>
      <c r="T192" s="32">
        <f>IFERROR(VLOOKUP(G192,'Base Execução'!$A:$K,11,FALSE),0)</f>
        <v>116792.16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2255925</v>
      </c>
      <c r="P197" s="21">
        <f t="shared" si="87"/>
        <v>0</v>
      </c>
      <c r="Q197" s="21">
        <f t="shared" ref="Q197" si="88">Q198</f>
        <v>0</v>
      </c>
      <c r="R197" s="21">
        <f t="shared" ref="R197" si="89">SUM(R198:R199)</f>
        <v>1671177.6400000001</v>
      </c>
      <c r="S197" s="21">
        <f t="shared" ref="S197" si="90">SUM(S198:S199)</f>
        <v>733043.11</v>
      </c>
      <c r="T197" s="21">
        <f t="shared" ref="T197" si="91">SUM(T198:T199)</f>
        <v>690950.24</v>
      </c>
      <c r="U197" s="154">
        <f>+IFERROR((R197/N197),0%)</f>
        <v>0.74079485798508382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1495000</v>
      </c>
      <c r="P198" s="231">
        <f>+N198-O198</f>
        <v>0</v>
      </c>
      <c r="Q198" s="296"/>
      <c r="R198" s="231">
        <f>IFERROR(VLOOKUP(G198,'Base Execução'!$A:$K,7,FALSE),0)</f>
        <v>1373748.56</v>
      </c>
      <c r="S198" s="231">
        <f>IFERROR(VLOOKUP(G198,'Base Execução'!$A:$K,9,FALSE),0)</f>
        <v>724403.11</v>
      </c>
      <c r="T198" s="32">
        <f>IFERROR(VLOOKUP(G198,'Base Execução'!$A:$K,11,FALSE),0)</f>
        <v>690950.24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8640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1081406</v>
      </c>
      <c r="P201" s="21">
        <f t="shared" si="92"/>
        <v>73594</v>
      </c>
      <c r="Q201" s="21">
        <f t="shared" ref="Q201" si="93">Q202</f>
        <v>0</v>
      </c>
      <c r="R201" s="21">
        <f t="shared" ref="R201" si="94">SUM(R202:R203)</f>
        <v>1014392.36</v>
      </c>
      <c r="S201" s="21">
        <f t="shared" ref="S201" si="95">SUM(S202:S203)</f>
        <v>233196.95</v>
      </c>
      <c r="T201" s="21">
        <f t="shared" ref="T201" si="96">SUM(T202:T203)</f>
        <v>213840.88</v>
      </c>
      <c r="U201" s="154">
        <f>+IFERROR((R201/N201),0%)</f>
        <v>0.87826178354978357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655000</v>
      </c>
      <c r="P202" s="231">
        <f>+N202-O202</f>
        <v>0</v>
      </c>
      <c r="Q202" s="33"/>
      <c r="R202" s="231">
        <f>IFERROR(VLOOKUP(G202,'Base Execução'!$A:$K,7,FALSE),0)</f>
        <v>614392.36</v>
      </c>
      <c r="S202" s="231">
        <f>IFERROR(VLOOKUP(G202,'Base Execução'!$A:$K,9,FALSE),0)</f>
        <v>233196.95</v>
      </c>
      <c r="T202" s="32">
        <f>IFERROR(VLOOKUP(G202,'Base Execução'!$A:$K,11,FALSE),0)</f>
        <v>213840.88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540347.97</v>
      </c>
      <c r="P205" s="228">
        <f t="shared" si="97"/>
        <v>259652.03000000003</v>
      </c>
      <c r="Q205" s="21">
        <f t="shared" si="97"/>
        <v>0</v>
      </c>
      <c r="R205" s="21">
        <f t="shared" si="97"/>
        <v>439657.82</v>
      </c>
      <c r="S205" s="21">
        <f t="shared" si="97"/>
        <v>438224.73</v>
      </c>
      <c r="T205" s="21">
        <f>T206</f>
        <v>434875.7</v>
      </c>
      <c r="U205" s="154">
        <f>+IFERROR((R205/N205),0%)</f>
        <v>0.54957227500000005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540347.97</v>
      </c>
      <c r="P206" s="231">
        <f>+N206-O206</f>
        <v>259652.03000000003</v>
      </c>
      <c r="Q206" s="33"/>
      <c r="R206" s="231">
        <f>IFERROR(VLOOKUP(G206,'Base Execução'!$A:$K,7,FALSE),0)</f>
        <v>439657.82</v>
      </c>
      <c r="S206" s="231">
        <f>IFERROR(VLOOKUP(G206,'Base Execução'!$A:$K,9,FALSE),0)</f>
        <v>438224.73</v>
      </c>
      <c r="T206" s="32">
        <f>IFERROR(VLOOKUP(G206,'Base Execução'!$A:$K,11,FALSE),0)</f>
        <v>434875.7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250000</v>
      </c>
      <c r="N208" s="26">
        <f t="shared" si="98"/>
        <v>4150000</v>
      </c>
      <c r="O208" s="26">
        <f t="shared" si="98"/>
        <v>4072696.5700000003</v>
      </c>
      <c r="P208" s="26">
        <f t="shared" si="98"/>
        <v>77303.429999999993</v>
      </c>
      <c r="Q208" s="22">
        <f>Q210</f>
        <v>0</v>
      </c>
      <c r="R208" s="26">
        <f t="shared" si="98"/>
        <v>3840664.8899999997</v>
      </c>
      <c r="S208" s="26">
        <f t="shared" si="98"/>
        <v>2472931.91</v>
      </c>
      <c r="T208" s="26">
        <f t="shared" si="98"/>
        <v>2436892.6799999997</v>
      </c>
      <c r="U208" s="156">
        <f>+IFERROR((R208/N208),0%)</f>
        <v>0.92546141927710834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250000</v>
      </c>
      <c r="N210" s="31">
        <f t="shared" si="99"/>
        <v>3150000</v>
      </c>
      <c r="O210" s="31">
        <f t="shared" si="99"/>
        <v>3089381.95</v>
      </c>
      <c r="P210" s="31">
        <f t="shared" si="99"/>
        <v>60618.049999999988</v>
      </c>
      <c r="Q210" s="31">
        <f t="shared" si="99"/>
        <v>0</v>
      </c>
      <c r="R210" s="31">
        <f t="shared" si="99"/>
        <v>2869389.8899999997</v>
      </c>
      <c r="S210" s="31">
        <f t="shared" si="99"/>
        <v>1668952.9100000001</v>
      </c>
      <c r="T210" s="31">
        <f t="shared" si="99"/>
        <v>1652862.18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803979</v>
      </c>
      <c r="T211" s="31">
        <f t="shared" si="100"/>
        <v>784030.5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1983314.62</v>
      </c>
      <c r="P214" s="229">
        <f t="shared" si="101"/>
        <v>16685.380000000005</v>
      </c>
      <c r="Q214" s="22">
        <f>Q215</f>
        <v>0</v>
      </c>
      <c r="R214" s="22">
        <f>R215+R216</f>
        <v>1957220.94</v>
      </c>
      <c r="S214" s="22">
        <f>S215+S216</f>
        <v>1205486.97</v>
      </c>
      <c r="T214" s="22">
        <f>T215+T216</f>
        <v>1178596.6000000001</v>
      </c>
      <c r="U214" s="154">
        <f>+IFERROR((R214/N214),0%)</f>
        <v>0.97861047000000001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985945.94</v>
      </c>
      <c r="S215" s="231">
        <f>IFERROR(VLOOKUP(G215,'Base Execução'!$A:$K,9,FALSE),0)</f>
        <v>401507.97</v>
      </c>
      <c r="T215" s="32">
        <f>IFERROR(VLOOKUP(G215,'Base Execução'!$A:$K,11,FALSE),0)</f>
        <v>394566.1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803979</v>
      </c>
      <c r="T216" s="32">
        <f>IFERROR(VLOOKUP(G216,'Base Execução'!$A:$K,11,FALSE),0)</f>
        <v>784030.5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247504.43</v>
      </c>
      <c r="P218" s="229">
        <f t="shared" si="102"/>
        <v>2495.570000000007</v>
      </c>
      <c r="Q218" s="22">
        <f t="shared" si="102"/>
        <v>0</v>
      </c>
      <c r="R218" s="22">
        <f t="shared" si="102"/>
        <v>243455.25</v>
      </c>
      <c r="S218" s="22">
        <f t="shared" si="102"/>
        <v>13289.38</v>
      </c>
      <c r="T218" s="22">
        <f t="shared" si="102"/>
        <v>13289.38</v>
      </c>
      <c r="U218" s="154">
        <f>+IFERROR((R218/N218),0%)</f>
        <v>0.97382100000000005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247504.43</v>
      </c>
      <c r="P219" s="232">
        <f>+N219-O219</f>
        <v>2495.570000000007</v>
      </c>
      <c r="Q219" s="31"/>
      <c r="R219" s="231">
        <f>IFERROR(VLOOKUP(G219,'Base Execução'!$A:$K,7,FALSE),0)</f>
        <v>243455.25</v>
      </c>
      <c r="S219" s="231">
        <f>IFERROR(VLOOKUP(G219,'Base Execução'!$A:$K,9,FALSE),0)</f>
        <v>13289.38</v>
      </c>
      <c r="T219" s="32">
        <f>IFERROR(VLOOKUP(G219,'Base Execução'!$A:$K,11,FALSE),0)</f>
        <v>13289.38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250000</v>
      </c>
      <c r="N221" s="22">
        <f t="shared" si="103"/>
        <v>1900000</v>
      </c>
      <c r="O221" s="22">
        <f t="shared" si="103"/>
        <v>1841877.52</v>
      </c>
      <c r="P221" s="229">
        <f t="shared" si="103"/>
        <v>58122.479999999981</v>
      </c>
      <c r="Q221" s="22">
        <f t="shared" si="103"/>
        <v>0</v>
      </c>
      <c r="R221" s="22">
        <f t="shared" si="103"/>
        <v>1639988.7</v>
      </c>
      <c r="S221" s="22">
        <f t="shared" si="103"/>
        <v>1254155.56</v>
      </c>
      <c r="T221" s="22">
        <f t="shared" si="103"/>
        <v>1245006.7</v>
      </c>
      <c r="U221" s="154">
        <f>+IFERROR((R221/N221),0%)</f>
        <v>0.86315194736842105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250000</v>
      </c>
      <c r="N222" s="32">
        <f>IFERROR(VLOOKUP(G222,'Base Zero'!$A:$P,16,FALSE),0)</f>
        <v>1900000</v>
      </c>
      <c r="O222" s="32">
        <f>IFERROR(VLOOKUP(G222,'Base Execução'!A:M,6,FALSE),0)+IFERROR(VLOOKUP(G222,'Destaque Liberado pela CPRM'!A:F,6,FALSE),0)</f>
        <v>1841877.52</v>
      </c>
      <c r="P222" s="232">
        <f>+N222-O222</f>
        <v>58122.479999999981</v>
      </c>
      <c r="Q222" s="31"/>
      <c r="R222" s="231">
        <f>IFERROR(VLOOKUP(G222,'Base Execução'!$A:$K,7,FALSE),0)</f>
        <v>1639988.7</v>
      </c>
      <c r="S222" s="231">
        <f>IFERROR(VLOOKUP(G222,'Base Execução'!$A:$K,9,FALSE),0)</f>
        <v>1254155.56</v>
      </c>
      <c r="T222" s="32">
        <f>IFERROR(VLOOKUP(G222,'Base Execução'!$A:$K,11,FALSE),0)</f>
        <v>1245006.7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2377053.4700000002</v>
      </c>
      <c r="P224" s="21">
        <f t="shared" si="104"/>
        <v>269501.52999999991</v>
      </c>
      <c r="Q224" s="22">
        <f t="shared" si="104"/>
        <v>0</v>
      </c>
      <c r="R224" s="21">
        <f t="shared" si="104"/>
        <v>2343409.2799999998</v>
      </c>
      <c r="S224" s="21">
        <f t="shared" si="104"/>
        <v>1113492.8899999999</v>
      </c>
      <c r="T224" s="21">
        <f t="shared" si="104"/>
        <v>1096823.29</v>
      </c>
      <c r="U224" s="156">
        <f>+IFERROR((R224/N224),0%)</f>
        <v>0.88545648210598293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2161654.4700000002</v>
      </c>
      <c r="P227" s="32">
        <f t="shared" si="106"/>
        <v>38345.529999999912</v>
      </c>
      <c r="Q227" s="32">
        <f t="shared" si="106"/>
        <v>0</v>
      </c>
      <c r="R227" s="32">
        <f t="shared" si="106"/>
        <v>2130693.2799999998</v>
      </c>
      <c r="S227" s="32">
        <f t="shared" si="106"/>
        <v>900776.8899999999</v>
      </c>
      <c r="T227" s="32">
        <f t="shared" si="106"/>
        <v>892747.29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215399</v>
      </c>
      <c r="P228" s="32">
        <f t="shared" si="107"/>
        <v>231156</v>
      </c>
      <c r="Q228" s="32">
        <f>Q236+Q243</f>
        <v>0</v>
      </c>
      <c r="R228" s="32">
        <f t="shared" si="107"/>
        <v>212716</v>
      </c>
      <c r="S228" s="32">
        <f t="shared" si="107"/>
        <v>212716</v>
      </c>
      <c r="T228" s="32">
        <f t="shared" si="107"/>
        <v>204076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164447.87</v>
      </c>
      <c r="P233" s="228">
        <f t="shared" si="110"/>
        <v>35552.130000000005</v>
      </c>
      <c r="Q233" s="21">
        <f t="shared" si="110"/>
        <v>0</v>
      </c>
      <c r="R233" s="21">
        <f t="shared" si="110"/>
        <v>161892.4</v>
      </c>
      <c r="S233" s="21">
        <f t="shared" si="110"/>
        <v>130976.93</v>
      </c>
      <c r="T233" s="21">
        <f t="shared" si="110"/>
        <v>130976.93</v>
      </c>
      <c r="U233" s="154">
        <f>+IFERROR((R233/N233),0%)</f>
        <v>0.80946200000000001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164447.87</v>
      </c>
      <c r="P234" s="231">
        <f>+N234-O234</f>
        <v>35552.130000000005</v>
      </c>
      <c r="Q234" s="32"/>
      <c r="R234" s="231">
        <f>IFERROR(VLOOKUP(G234,'Base Execução'!$A:$K,7,FALSE),0)</f>
        <v>161892.4</v>
      </c>
      <c r="S234" s="231">
        <f>IFERROR(VLOOKUP(G234,'Base Execução'!$A:$K,9,FALSE),0)</f>
        <v>130976.93</v>
      </c>
      <c r="T234" s="32">
        <f>IFERROR(VLOOKUP(G234,'Base Execução'!$A:$K,11,FALSE),0)</f>
        <v>130976.93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1791605.6</v>
      </c>
      <c r="P236" s="21">
        <f>SUM(P237:P240)</f>
        <v>233949.39999999991</v>
      </c>
      <c r="Q236" s="21">
        <f>SUM(Q237:Q239)</f>
        <v>0</v>
      </c>
      <c r="R236" s="21">
        <f>SUM(R237:R240)</f>
        <v>1760516.88</v>
      </c>
      <c r="S236" s="21">
        <f>SUM(S237:S240)</f>
        <v>978003.75</v>
      </c>
      <c r="T236" s="21">
        <f>SUM(T237:T240)</f>
        <v>961334.15</v>
      </c>
      <c r="U236" s="154">
        <f>+IFERROR((R236/N236),0%)</f>
        <v>0.86915283959211176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1576206.6</v>
      </c>
      <c r="P238" s="231">
        <f>+N238-O238</f>
        <v>2793.3999999999069</v>
      </c>
      <c r="Q238" s="33"/>
      <c r="R238" s="231">
        <f>IFERROR(VLOOKUP(G238,'Base Execução'!$A:$K,7,FALSE),0)</f>
        <v>1547800.88</v>
      </c>
      <c r="S238" s="231">
        <f>IFERROR(VLOOKUP(G238,'Base Execução'!$A:$K,9,FALSE),0)</f>
        <v>765287.75</v>
      </c>
      <c r="T238" s="32">
        <f>IFERROR(VLOOKUP(G238,'Base Execução'!$A:$K,11,FALSE),0)</f>
        <v>757258.15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215399</v>
      </c>
      <c r="P239" s="231">
        <f>+N239-O239</f>
        <v>231156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212716</v>
      </c>
      <c r="T239" s="32">
        <f>IFERROR(VLOOKUP(G239,'Base Execução'!$A:$K,11,FALSE),0)</f>
        <v>204076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4512.21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4512.21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270000</v>
      </c>
      <c r="N257" s="21">
        <f t="shared" si="117"/>
        <v>8551851</v>
      </c>
      <c r="O257" s="21">
        <f t="shared" si="117"/>
        <v>8442598.9000000004</v>
      </c>
      <c r="P257" s="21">
        <f t="shared" si="117"/>
        <v>109252.10000000003</v>
      </c>
      <c r="Q257" s="22">
        <f t="shared" si="117"/>
        <v>0</v>
      </c>
      <c r="R257" s="21">
        <f t="shared" si="117"/>
        <v>7957304.9100000001</v>
      </c>
      <c r="S257" s="21">
        <f t="shared" si="117"/>
        <v>5237229.4600000009</v>
      </c>
      <c r="T257" s="21">
        <f t="shared" si="117"/>
        <v>5070402.6100000003</v>
      </c>
      <c r="U257" s="156">
        <f>+IFERROR((R257/N257),0%)</f>
        <v>0.93047749662616897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7787255.46</v>
      </c>
      <c r="P259" s="32">
        <f t="shared" si="118"/>
        <v>34595.539999999979</v>
      </c>
      <c r="Q259" s="32">
        <f t="shared" ref="Q259" si="119">Q265+Q269+Q273+Q276</f>
        <v>0</v>
      </c>
      <c r="R259" s="32">
        <f t="shared" si="118"/>
        <v>7301961.4700000007</v>
      </c>
      <c r="S259" s="32">
        <f t="shared" si="118"/>
        <v>4911886.0200000005</v>
      </c>
      <c r="T259" s="32">
        <f t="shared" si="118"/>
        <v>4758778.6100000003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270000</v>
      </c>
      <c r="N260" s="32">
        <f t="shared" si="120"/>
        <v>730000</v>
      </c>
      <c r="O260" s="32">
        <f t="shared" si="120"/>
        <v>655343.43999999994</v>
      </c>
      <c r="P260" s="32">
        <f t="shared" si="120"/>
        <v>74656.560000000056</v>
      </c>
      <c r="Q260" s="32">
        <f t="shared" si="120"/>
        <v>0</v>
      </c>
      <c r="R260" s="32">
        <f t="shared" si="120"/>
        <v>655343.43999999994</v>
      </c>
      <c r="S260" s="32">
        <f t="shared" si="120"/>
        <v>325343.44</v>
      </c>
      <c r="T260" s="32">
        <f t="shared" si="120"/>
        <v>311624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300253</v>
      </c>
      <c r="L264" s="22">
        <f t="shared" si="122"/>
        <v>3300252</v>
      </c>
      <c r="M264" s="22">
        <f t="shared" si="122"/>
        <v>270000</v>
      </c>
      <c r="N264" s="22">
        <f t="shared" si="122"/>
        <v>3030252</v>
      </c>
      <c r="O264" s="22">
        <f t="shared" si="122"/>
        <v>2942527.26</v>
      </c>
      <c r="P264" s="22">
        <f t="shared" si="122"/>
        <v>87724.740000000224</v>
      </c>
      <c r="Q264" s="22">
        <f t="shared" si="122"/>
        <v>0</v>
      </c>
      <c r="R264" s="22">
        <f t="shared" si="122"/>
        <v>2882328.9899999998</v>
      </c>
      <c r="S264" s="22">
        <f t="shared" si="122"/>
        <v>1892846.6099999999</v>
      </c>
      <c r="T264" s="22">
        <f t="shared" si="122"/>
        <v>1839488.2</v>
      </c>
      <c r="U264" s="154">
        <f>+IFERROR((R264/N264),0%)</f>
        <v>0.95118458464840538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300253</v>
      </c>
      <c r="L265" s="32">
        <f>IFERROR(VLOOKUP(G265,'Base Zero'!$A:$L,10,FALSE),0)</f>
        <v>2300252</v>
      </c>
      <c r="M265" s="32">
        <f>+L265-N265</f>
        <v>0</v>
      </c>
      <c r="N265" s="32">
        <f>IFERROR(VLOOKUP(G265,'Base Zero'!$A:$P,16,FALSE),0)</f>
        <v>2300252</v>
      </c>
      <c r="O265" s="32">
        <f>IFERROR(VLOOKUP(G265,'Base Execução'!A:M,6,FALSE),0)+IFERROR(VLOOKUP(G265,'Destaque Liberado pela CPRM'!A:F,6,FALSE),0)</f>
        <v>2287183.8199999998</v>
      </c>
      <c r="P265" s="231">
        <f>+N265-O265</f>
        <v>13068.180000000168</v>
      </c>
      <c r="Q265" s="32"/>
      <c r="R265" s="231">
        <f>IFERROR(VLOOKUP(G265,'Base Execução'!$A:$K,7,FALSE),0)</f>
        <v>2226985.5499999998</v>
      </c>
      <c r="S265" s="231">
        <f>IFERROR(VLOOKUP(G265,'Base Execução'!$A:$K,9,FALSE),0)</f>
        <v>1567503.17</v>
      </c>
      <c r="T265" s="32">
        <f>IFERROR(VLOOKUP(G265,'Base Execução'!$A:$K,11,FALSE),0)</f>
        <v>1527864.2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270000</v>
      </c>
      <c r="N266" s="32">
        <f>IFERROR(VLOOKUP(G266,'Base Zero'!$A:$P,16,FALSE),0)</f>
        <v>730000</v>
      </c>
      <c r="O266" s="32">
        <f>IFERROR(VLOOKUP(G266,'Base Execução'!A:M,6,FALSE),0)+IFERROR(VLOOKUP(G266,'Destaque Liberado pela CPRM'!A:F,6,FALSE),0)</f>
        <v>655343.43999999994</v>
      </c>
      <c r="P266" s="231">
        <f>+N266-O266</f>
        <v>74656.560000000056</v>
      </c>
      <c r="Q266" s="33"/>
      <c r="R266" s="231">
        <f>IFERROR(VLOOKUP(G266,'Base Execução'!$A:$K,7,FALSE),0)</f>
        <v>655343.43999999994</v>
      </c>
      <c r="S266" s="231">
        <f>IFERROR(VLOOKUP(G266,'Base Execução'!$A:$K,9,FALSE),0)</f>
        <v>325343.44</v>
      </c>
      <c r="T266" s="32">
        <f>IFERROR(VLOOKUP(G266,'Base Execução'!$A:$K,11,FALSE),0)</f>
        <v>311624</v>
      </c>
      <c r="U266" s="155"/>
    </row>
    <row r="267" spans="1:33" ht="15" customHeight="1" x14ac:dyDescent="0.2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-889327</v>
      </c>
      <c r="L268" s="22">
        <f t="shared" si="123"/>
        <v>4110673</v>
      </c>
      <c r="M268" s="22">
        <f t="shared" si="123"/>
        <v>0</v>
      </c>
      <c r="N268" s="22">
        <f t="shared" si="123"/>
        <v>4110673</v>
      </c>
      <c r="O268" s="22">
        <f t="shared" si="123"/>
        <v>4102144.95</v>
      </c>
      <c r="P268" s="229">
        <f t="shared" si="123"/>
        <v>8528.0499999998137</v>
      </c>
      <c r="Q268" s="22">
        <f t="shared" si="123"/>
        <v>0</v>
      </c>
      <c r="R268" s="22">
        <f t="shared" si="123"/>
        <v>3696468.68</v>
      </c>
      <c r="S268" s="22">
        <f t="shared" si="123"/>
        <v>3079667.07</v>
      </c>
      <c r="T268" s="22">
        <f t="shared" si="123"/>
        <v>2984189</v>
      </c>
      <c r="U268" s="154">
        <f>+IFERROR((R268/N268),0%)</f>
        <v>0.8992368597550815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-889327</v>
      </c>
      <c r="L269" s="32">
        <f>IFERROR(VLOOKUP(G269,'Base Zero'!$A:$L,10,FALSE),0)</f>
        <v>4110673</v>
      </c>
      <c r="M269" s="32">
        <f>+L269-N269</f>
        <v>0</v>
      </c>
      <c r="N269" s="32">
        <f>IFERROR(VLOOKUP(G269,'Base Zero'!$A:$P,16,FALSE),0)</f>
        <v>4110673</v>
      </c>
      <c r="O269" s="32">
        <f>IFERROR(VLOOKUP(G269,'Base Execução'!A:M,6,FALSE),0)+IFERROR(VLOOKUP(G269,'Destaque Liberado pela CPRM'!A:F,6,FALSE),0)</f>
        <v>4102144.95</v>
      </c>
      <c r="P269" s="231">
        <f>+N269-O269</f>
        <v>8528.0499999998137</v>
      </c>
      <c r="Q269" s="32"/>
      <c r="R269" s="231">
        <f>IFERROR(VLOOKUP(G269,'Base Execução'!$A:$K,7,FALSE),0)</f>
        <v>3696468.68</v>
      </c>
      <c r="S269" s="231">
        <f>IFERROR(VLOOKUP(G269,'Base Execução'!$A:$K,9,FALSE),0)</f>
        <v>3079667.07</v>
      </c>
      <c r="T269" s="32">
        <f>IFERROR(VLOOKUP(G269,'Base Execução'!$A:$K,11,FALSE),0)</f>
        <v>2984189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397926.69</v>
      </c>
      <c r="P272" s="229">
        <f t="shared" si="124"/>
        <v>12998.309999999998</v>
      </c>
      <c r="Q272" s="22">
        <f t="shared" si="124"/>
        <v>0</v>
      </c>
      <c r="R272" s="22">
        <f t="shared" si="124"/>
        <v>378507.24</v>
      </c>
      <c r="S272" s="22">
        <f t="shared" si="124"/>
        <v>264715.78000000003</v>
      </c>
      <c r="T272" s="22">
        <f t="shared" si="124"/>
        <v>246725.41</v>
      </c>
      <c r="U272" s="154">
        <f>+IFERROR((R272/N272),0%)</f>
        <v>0.92111027559773684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397926.69</v>
      </c>
      <c r="P273" s="231">
        <f>+N273-O273</f>
        <v>12998.309999999998</v>
      </c>
      <c r="Q273" s="32"/>
      <c r="R273" s="231">
        <f>IFERROR(VLOOKUP(G273,'Base Execução'!$A:$K,7,FALSE),0)</f>
        <v>378507.24</v>
      </c>
      <c r="S273" s="231">
        <f>IFERROR(VLOOKUP(G273,'Base Execução'!$A:$K,9,FALSE),0)</f>
        <v>264715.78000000003</v>
      </c>
      <c r="T273" s="32">
        <f>IFERROR(VLOOKUP(G273,'Base Execução'!$A:$K,11,FALSE),0)</f>
        <v>246725.41</v>
      </c>
      <c r="U273" s="155"/>
    </row>
    <row r="274" spans="1:33" ht="24.95" customHeight="1" x14ac:dyDescent="0.2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1275188.07</v>
      </c>
      <c r="P281" s="21">
        <f t="shared" si="127"/>
        <v>48088.929999999993</v>
      </c>
      <c r="Q281" s="22">
        <f t="shared" si="127"/>
        <v>0</v>
      </c>
      <c r="R281" s="21">
        <f t="shared" si="127"/>
        <v>1268196.28</v>
      </c>
      <c r="S281" s="21">
        <f t="shared" si="127"/>
        <v>1166844.97</v>
      </c>
      <c r="T281" s="21">
        <f t="shared" si="127"/>
        <v>1155435.06</v>
      </c>
      <c r="U281" s="156">
        <f>+IFERROR((R281/N281),0%)</f>
        <v>0.95837551774874041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384317.07</v>
      </c>
      <c r="P283" s="32">
        <f t="shared" si="128"/>
        <v>47591.929999999993</v>
      </c>
      <c r="Q283" s="32">
        <f t="shared" si="128"/>
        <v>0</v>
      </c>
      <c r="R283" s="32">
        <f t="shared" si="128"/>
        <v>377325.28</v>
      </c>
      <c r="S283" s="32">
        <f t="shared" si="128"/>
        <v>299973.96999999997</v>
      </c>
      <c r="T283" s="32">
        <f t="shared" si="128"/>
        <v>293575.28000000003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866871</v>
      </c>
      <c r="T284" s="32">
        <f t="shared" si="129"/>
        <v>861859.78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1275188.07</v>
      </c>
      <c r="P287" s="22">
        <f t="shared" si="130"/>
        <v>48088.929999999993</v>
      </c>
      <c r="Q287" s="22">
        <f t="shared" si="130"/>
        <v>0</v>
      </c>
      <c r="R287" s="22">
        <f t="shared" si="130"/>
        <v>1268196.28</v>
      </c>
      <c r="S287" s="22">
        <f t="shared" si="130"/>
        <v>1166844.97</v>
      </c>
      <c r="T287" s="22">
        <f t="shared" si="130"/>
        <v>1155435.06</v>
      </c>
      <c r="U287" s="154">
        <f>+IFERROR((R287/N287),0%)</f>
        <v>0.95837551774874041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384317.07</v>
      </c>
      <c r="P288" s="231">
        <f>+N288-O288</f>
        <v>47591.929999999993</v>
      </c>
      <c r="Q288" s="32"/>
      <c r="R288" s="231">
        <f>IFERROR(VLOOKUP(G288,'Base Execução'!$A:$K,7,FALSE),0)</f>
        <v>377325.28</v>
      </c>
      <c r="S288" s="231">
        <f>IFERROR(VLOOKUP(G288,'Base Execução'!$A:$K,9,FALSE),0)</f>
        <v>299973.96999999997</v>
      </c>
      <c r="T288" s="32">
        <f>IFERROR(VLOOKUP(G288,'Base Execução'!$A:$K,11,FALSE),0)</f>
        <v>293575.28000000003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866871</v>
      </c>
      <c r="T289" s="32">
        <f>IFERROR(VLOOKUP(G289,'Base Execução'!$A:$K,11,FALSE),0)</f>
        <v>861859.78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160000</v>
      </c>
      <c r="N291" s="21">
        <f t="shared" si="131"/>
        <v>6656389</v>
      </c>
      <c r="O291" s="21">
        <f t="shared" si="131"/>
        <v>5190895.7300000014</v>
      </c>
      <c r="P291" s="21">
        <f t="shared" si="131"/>
        <v>1465493.27</v>
      </c>
      <c r="Q291" s="22">
        <f>SUM(Q293:Q295)</f>
        <v>0</v>
      </c>
      <c r="R291" s="21">
        <f t="shared" si="131"/>
        <v>4161094.88</v>
      </c>
      <c r="S291" s="21">
        <f t="shared" si="131"/>
        <v>2298283.5499999998</v>
      </c>
      <c r="T291" s="21">
        <f t="shared" si="131"/>
        <v>2129585.73</v>
      </c>
      <c r="U291" s="156">
        <f>+IFERROR((R291/N291),0%)</f>
        <v>0.62512796052033615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4599876.57</v>
      </c>
      <c r="P293" s="32">
        <f t="shared" si="132"/>
        <v>200123.43000000008</v>
      </c>
      <c r="Q293" s="32">
        <f t="shared" si="132"/>
        <v>0</v>
      </c>
      <c r="R293" s="32">
        <f t="shared" si="132"/>
        <v>3572162.37</v>
      </c>
      <c r="S293" s="32">
        <f t="shared" si="132"/>
        <v>1989958.97</v>
      </c>
      <c r="T293" s="32">
        <f t="shared" si="132"/>
        <v>1930441.96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367597.15</v>
      </c>
      <c r="P294" s="32">
        <f t="shared" si="133"/>
        <v>748791.85</v>
      </c>
      <c r="Q294" s="32">
        <f t="shared" ref="Q294" si="134">Q303</f>
        <v>0</v>
      </c>
      <c r="R294" s="32">
        <f t="shared" si="133"/>
        <v>367408.25</v>
      </c>
      <c r="S294" s="32">
        <f t="shared" si="133"/>
        <v>144638.14000000001</v>
      </c>
      <c r="T294" s="32">
        <f t="shared" si="133"/>
        <v>46871.1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160000</v>
      </c>
      <c r="N295" s="32">
        <f t="shared" si="135"/>
        <v>540000</v>
      </c>
      <c r="O295" s="32">
        <f t="shared" si="135"/>
        <v>212542.69</v>
      </c>
      <c r="P295" s="32">
        <f t="shared" si="135"/>
        <v>327457.31</v>
      </c>
      <c r="Q295" s="32">
        <f t="shared" ref="Q295" si="136">Q304</f>
        <v>0</v>
      </c>
      <c r="R295" s="32">
        <f t="shared" si="135"/>
        <v>210644.94</v>
      </c>
      <c r="S295" s="32">
        <f t="shared" si="135"/>
        <v>152807.12</v>
      </c>
      <c r="T295" s="32">
        <f t="shared" si="135"/>
        <v>152272.67000000001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0</v>
      </c>
      <c r="N296" s="32">
        <f t="shared" si="137"/>
        <v>200000</v>
      </c>
      <c r="O296" s="32">
        <f t="shared" si="137"/>
        <v>10879.32</v>
      </c>
      <c r="P296" s="32">
        <f t="shared" si="137"/>
        <v>189120.68</v>
      </c>
      <c r="Q296" s="32"/>
      <c r="R296" s="32">
        <f t="shared" si="137"/>
        <v>10879.32</v>
      </c>
      <c r="S296" s="32">
        <f t="shared" si="137"/>
        <v>10879.32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138623.75</v>
      </c>
      <c r="S301" s="21">
        <f>SUM(S302:S306)</f>
        <v>123741.18</v>
      </c>
      <c r="T301" s="21">
        <f>SUM(T302:T306)</f>
        <v>123245.65</v>
      </c>
      <c r="U301" s="154">
        <f>+IFERROR((R301/N301),0%)</f>
        <v>0.69311875000000001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138623.75</v>
      </c>
      <c r="S302" s="231">
        <f>IFERROR(VLOOKUP(G302,'Base Execução'!$A:$K,9,FALSE),0)</f>
        <v>123741.18</v>
      </c>
      <c r="T302" s="32">
        <f>IFERROR(VLOOKUP(G302,'Base Execução'!$A:$K,11,FALSE),0)</f>
        <v>123245.65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3547768.4</v>
      </c>
      <c r="P308" s="22">
        <f t="shared" si="141"/>
        <v>668620.60000000009</v>
      </c>
      <c r="Q308" s="33"/>
      <c r="R308" s="22">
        <f t="shared" ref="R308" si="142">SUM(R309:R310)</f>
        <v>2593917.44</v>
      </c>
      <c r="S308" s="22">
        <f t="shared" ref="S308" si="143">SUM(S309:S310)</f>
        <v>1175646.45</v>
      </c>
      <c r="T308" s="22">
        <f t="shared" ref="T308" si="144">SUM(T309:T310)</f>
        <v>1114022.6900000002</v>
      </c>
      <c r="U308" s="154">
        <f>+IFERROR((R308/N308),0%)</f>
        <v>0.61519879688520196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3295986.15</v>
      </c>
      <c r="P309" s="231">
        <f>+N309-O309</f>
        <v>4013.8500000000931</v>
      </c>
      <c r="Q309" s="32"/>
      <c r="R309" s="231">
        <f>IFERROR(VLOOKUP(G309,'Base Execução'!$A:$K,7,FALSE),0)</f>
        <v>2342135.19</v>
      </c>
      <c r="S309" s="231">
        <f>IFERROR(VLOOKUP(G309,'Base Execução'!$A:$K,9,FALSE),0)</f>
        <v>1098008.31</v>
      </c>
      <c r="T309" s="32">
        <f>IFERROR(VLOOKUP(G309,'Base Execução'!$A:$K,11,FALSE),0)</f>
        <v>1067151.5900000001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251782.25</v>
      </c>
      <c r="P310" s="231">
        <f>+N310-O310</f>
        <v>664606.75</v>
      </c>
      <c r="Q310" s="32"/>
      <c r="R310" s="231">
        <f>IFERROR(VLOOKUP(G310,'Base Execução'!$A:$K,7,FALSE),0)</f>
        <v>251782.25</v>
      </c>
      <c r="S310" s="231">
        <f>IFERROR(VLOOKUP(G310,'Base Execução'!$A:$K,9,FALSE),0)</f>
        <v>77638.14</v>
      </c>
      <c r="T310" s="32">
        <f>IFERROR(VLOOKUP(G310,'Base Execução'!$A:$K,11,FALSE),0)</f>
        <v>46871.1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703836.14</v>
      </c>
      <c r="S312" s="22">
        <f t="shared" ref="S312" si="147">SUM(S313:S314)</f>
        <v>424852.52</v>
      </c>
      <c r="T312" s="22">
        <f t="shared" ref="T312" si="148">SUM(T313:T314)</f>
        <v>404429.44</v>
      </c>
      <c r="U312" s="154">
        <f>+IFERROR((R312/N312),0%)</f>
        <v>0.87979517500000004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688210.14</v>
      </c>
      <c r="S313" s="231">
        <f>IFERROR(VLOOKUP(G313,'Base Execução'!$A:$K,9,FALSE),0)</f>
        <v>424852.52</v>
      </c>
      <c r="T313" s="32">
        <f>IFERROR(VLOOKUP(G313,'Base Execução'!$A:$K,11,FALSE),0)</f>
        <v>404429.44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537610.68999999994</v>
      </c>
      <c r="P316" s="22">
        <f t="shared" si="149"/>
        <v>162389.31</v>
      </c>
      <c r="Q316" s="33"/>
      <c r="R316" s="22">
        <f t="shared" ref="R316" si="150">SUM(R317:R318)</f>
        <v>503193.29</v>
      </c>
      <c r="S316" s="22">
        <f t="shared" ref="S316" si="151">SUM(S317:S318)</f>
        <v>410356.96</v>
      </c>
      <c r="T316" s="22">
        <f t="shared" ref="T316" si="152">SUM(T317:T318)</f>
        <v>335615.28</v>
      </c>
      <c r="U316" s="154">
        <f>+IFERROR((R316/N316),0%)</f>
        <v>0.71884755714285709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437610.69</v>
      </c>
      <c r="P317" s="231">
        <f>+N317-O317</f>
        <v>162389.31</v>
      </c>
      <c r="Q317" s="32"/>
      <c r="R317" s="231">
        <f>IFERROR(VLOOKUP(G317,'Base Execução'!$A:$K,7,FALSE),0)</f>
        <v>403193.29</v>
      </c>
      <c r="S317" s="231">
        <f>IFERROR(VLOOKUP(G317,'Base Execução'!$A:$K,9,FALSE),0)</f>
        <v>343356.96</v>
      </c>
      <c r="T317" s="32">
        <f>IFERROR(VLOOKUP(G317,'Base Execução'!$A:$K,11,FALSE),0)</f>
        <v>335615.28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67000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356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160000</v>
      </c>
      <c r="N320" s="22">
        <f t="shared" si="153"/>
        <v>540000</v>
      </c>
      <c r="O320" s="22">
        <f t="shared" si="153"/>
        <v>212542.69</v>
      </c>
      <c r="P320" s="229">
        <f t="shared" si="153"/>
        <v>327457.31</v>
      </c>
      <c r="Q320" s="33"/>
      <c r="R320" s="229">
        <f>SUM(R321:R321)</f>
        <v>210644.94</v>
      </c>
      <c r="S320" s="229">
        <f>SUM(S321:S321)</f>
        <v>152807.12</v>
      </c>
      <c r="T320" s="22">
        <f>SUM(T321:T321)</f>
        <v>152272.67000000001</v>
      </c>
      <c r="U320" s="154">
        <f>+IFERROR((R320/N320),0%)</f>
        <v>0.39008322222222225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160000</v>
      </c>
      <c r="N321" s="32">
        <f>IFERROR(VLOOKUP(G321,'Base Zero'!$A:$P,16,FALSE),0)</f>
        <v>540000</v>
      </c>
      <c r="O321" s="32">
        <f>IFERROR(VLOOKUP(G321,'Base Execução'!A:M,6,FALSE),0)+IFERROR(VLOOKUP(G321,'Destaque Liberado pela CPRM'!A:F,6,FALSE),0)</f>
        <v>212542.69</v>
      </c>
      <c r="P321" s="231">
        <f>+N321-O321</f>
        <v>327457.31</v>
      </c>
      <c r="Q321" s="32"/>
      <c r="R321" s="231">
        <f>IFERROR(VLOOKUP(G321,'Base Execução'!$A:$K,7,FALSE),0)</f>
        <v>210644.94</v>
      </c>
      <c r="S321" s="231">
        <f>IFERROR(VLOOKUP(G321,'Base Execução'!$A:$K,9,FALSE),0)</f>
        <v>152807.12</v>
      </c>
      <c r="T321" s="32">
        <f>IFERROR(VLOOKUP(G321,'Base Execução'!$A:$K,11,FALSE),0)</f>
        <v>152272.67000000001</v>
      </c>
      <c r="U321" s="155"/>
    </row>
    <row r="322" spans="1:33" s="11" customFormat="1" ht="24.95" customHeight="1" x14ac:dyDescent="0.2">
      <c r="A322" s="95"/>
      <c r="B322" s="424" t="s">
        <v>357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358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0</v>
      </c>
      <c r="N323" s="22">
        <f t="shared" si="154"/>
        <v>200000</v>
      </c>
      <c r="O323" s="22">
        <f t="shared" si="154"/>
        <v>10879.32</v>
      </c>
      <c r="P323" s="229">
        <f t="shared" si="154"/>
        <v>189120.68</v>
      </c>
      <c r="Q323" s="32"/>
      <c r="R323" s="229">
        <f>SUM(R324:R324)</f>
        <v>10879.32</v>
      </c>
      <c r="S323" s="229">
        <f>SUM(S324:S324)</f>
        <v>10879.32</v>
      </c>
      <c r="T323" s="22">
        <f>SUM(T324:T324)</f>
        <v>0</v>
      </c>
      <c r="U323" s="154">
        <f>+IFERROR((R323/N323),0%)</f>
        <v>5.4396599999999996E-2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0</v>
      </c>
      <c r="N324" s="32">
        <f>IFERROR(VLOOKUP(G324,'Base Zero'!$A:$P,16,FALSE),0)</f>
        <v>200000</v>
      </c>
      <c r="O324" s="32">
        <f>IFERROR(VLOOKUP(G324,'Base Execução'!A:M,6,FALSE),0)+IFERROR(VLOOKUP(G324,'Destaque Liberado pela CPRM'!A:F,6,FALSE),0)</f>
        <v>10879.32</v>
      </c>
      <c r="P324" s="231">
        <f>+N324-O324</f>
        <v>189120.68</v>
      </c>
      <c r="Q324" s="32"/>
      <c r="R324" s="231">
        <f>IFERROR(VLOOKUP(G324,'Base Execução'!$A:$K,7,FALSE),0)</f>
        <v>10879.32</v>
      </c>
      <c r="S324" s="231">
        <f>IFERROR(VLOOKUP(G324,'Base Execução'!$A:$K,9,FALSE),0)</f>
        <v>10879.32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281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291159.70999999996</v>
      </c>
      <c r="N327" s="22">
        <f t="shared" si="155"/>
        <v>11197840.289999999</v>
      </c>
      <c r="O327" s="22">
        <f t="shared" si="155"/>
        <v>10464739.719999999</v>
      </c>
      <c r="P327" s="22">
        <f t="shared" si="155"/>
        <v>733100.5699999996</v>
      </c>
      <c r="Q327" s="22">
        <f t="shared" si="155"/>
        <v>0</v>
      </c>
      <c r="R327" s="22">
        <f t="shared" si="155"/>
        <v>9809203.8900000006</v>
      </c>
      <c r="S327" s="22">
        <f t="shared" si="155"/>
        <v>6589282.9700000007</v>
      </c>
      <c r="T327" s="22">
        <f t="shared" si="155"/>
        <v>6377660.3600000003</v>
      </c>
      <c r="U327" s="156">
        <f>+IFERROR((R327/N327),0%)</f>
        <v>0.87599069427342235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325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8755899.4299999997</v>
      </c>
      <c r="P329" s="31">
        <f t="shared" si="156"/>
        <v>733100.5699999996</v>
      </c>
      <c r="Q329" s="31">
        <f t="shared" si="156"/>
        <v>0</v>
      </c>
      <c r="R329" s="31">
        <f t="shared" si="156"/>
        <v>8192524.6399999997</v>
      </c>
      <c r="S329" s="31">
        <f t="shared" si="156"/>
        <v>5028898.7200000007</v>
      </c>
      <c r="T329" s="31">
        <f t="shared" si="156"/>
        <v>4829622.75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291159.70999999996</v>
      </c>
      <c r="N330" s="31">
        <f t="shared" si="157"/>
        <v>1708840.29</v>
      </c>
      <c r="O330" s="31">
        <f t="shared" si="157"/>
        <v>1708840.29</v>
      </c>
      <c r="P330" s="31">
        <f t="shared" si="157"/>
        <v>0</v>
      </c>
      <c r="Q330" s="31">
        <f>Q335</f>
        <v>0</v>
      </c>
      <c r="R330" s="31">
        <f t="shared" si="157"/>
        <v>1616679.25</v>
      </c>
      <c r="S330" s="31">
        <f t="shared" si="157"/>
        <v>1560384.25</v>
      </c>
      <c r="T330" s="31">
        <f t="shared" si="157"/>
        <v>1548037.61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282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220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290879.70999999996</v>
      </c>
      <c r="N333" s="30">
        <f t="shared" si="158"/>
        <v>4949120.29</v>
      </c>
      <c r="O333" s="30">
        <f t="shared" si="158"/>
        <v>4818351.99</v>
      </c>
      <c r="P333" s="30">
        <f t="shared" si="158"/>
        <v>130768.29999999981</v>
      </c>
      <c r="Q333" s="30">
        <f t="shared" si="158"/>
        <v>0</v>
      </c>
      <c r="R333" s="30">
        <f t="shared" si="158"/>
        <v>4667828.25</v>
      </c>
      <c r="S333" s="30">
        <f t="shared" si="158"/>
        <v>3627817.69</v>
      </c>
      <c r="T333" s="30">
        <f t="shared" si="158"/>
        <v>3546180.0200000005</v>
      </c>
      <c r="U333" s="154">
        <f>+IFERROR((R333/N333),0%)</f>
        <v>0.94316322426667065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3409231.7</v>
      </c>
      <c r="P334" s="232">
        <f>+N334-O334</f>
        <v>130768.29999999981</v>
      </c>
      <c r="Q334" s="35"/>
      <c r="R334" s="231">
        <f>IFERROR(VLOOKUP(G334,'Base Execução'!$A:$K,7,FALSE),0)</f>
        <v>3350869</v>
      </c>
      <c r="S334" s="231">
        <f>IFERROR(VLOOKUP(G334,'Base Execução'!$A:$K,9,FALSE),0)</f>
        <v>2367153.44</v>
      </c>
      <c r="T334" s="32">
        <f>IFERROR(VLOOKUP(G334,'Base Execução'!$A:$K,11,FALSE),0)</f>
        <v>2297862.41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290879.70999999996</v>
      </c>
      <c r="N335" s="32">
        <f>IFERROR(VLOOKUP(G335,'Base Zero'!$A:$P,16,FALSE),0)</f>
        <v>1409120.29</v>
      </c>
      <c r="O335" s="32">
        <f>IFERROR(VLOOKUP(G335,'Base Execução'!A:M,6,FALSE),0)+IFERROR(VLOOKUP(G335,'Destaque Liberado pela CPRM'!A:F,6,FALSE),0)</f>
        <v>1409120.29</v>
      </c>
      <c r="P335" s="232">
        <f>+N335-O335</f>
        <v>0</v>
      </c>
      <c r="Q335" s="35"/>
      <c r="R335" s="231">
        <f>IFERROR(VLOOKUP(G335,'Base Execução'!$A:$K,7,FALSE),0)</f>
        <v>1316959.25</v>
      </c>
      <c r="S335" s="231">
        <f>IFERROR(VLOOKUP(G335,'Base Execução'!$A:$K,9,FALSE),0)</f>
        <v>1260664.25</v>
      </c>
      <c r="T335" s="32">
        <f>IFERROR(VLOOKUP(G335,'Base Execução'!$A:$K,11,FALSE),0)</f>
        <v>1248317.6100000001</v>
      </c>
      <c r="U335" s="298"/>
    </row>
    <row r="336" spans="1:33" s="11" customFormat="1" ht="15" customHeight="1" x14ac:dyDescent="0.2">
      <c r="A336" s="272"/>
      <c r="B336" s="424" t="s">
        <v>283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222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280</v>
      </c>
      <c r="N337" s="22">
        <f t="shared" si="159"/>
        <v>799720</v>
      </c>
      <c r="O337" s="22">
        <f t="shared" si="159"/>
        <v>765387.73</v>
      </c>
      <c r="P337" s="22">
        <f t="shared" si="159"/>
        <v>34332.270000000019</v>
      </c>
      <c r="Q337" s="22">
        <f>SUM(Q338:Q338)</f>
        <v>0</v>
      </c>
      <c r="R337" s="22">
        <f>SUM(R338:R339)</f>
        <v>711836.1</v>
      </c>
      <c r="S337" s="22">
        <f>SUM(S338:S339)</f>
        <v>578749.09000000008</v>
      </c>
      <c r="T337" s="22">
        <f>SUM(T338:T339)</f>
        <v>575848.91999999993</v>
      </c>
      <c r="U337" s="154">
        <f>+IFERROR((R337/N337),0%)</f>
        <v>0.89010666233181612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465667.73</v>
      </c>
      <c r="P338" s="232">
        <f>+N338-O338</f>
        <v>34332.270000000019</v>
      </c>
      <c r="Q338" s="31"/>
      <c r="R338" s="231">
        <f>IFERROR(VLOOKUP(G338,'Base Execução'!$A:$K,7,FALSE),0)</f>
        <v>412116.1</v>
      </c>
      <c r="S338" s="231">
        <f>IFERROR(VLOOKUP(G338,'Base Execução'!$A:$K,9,FALSE),0)</f>
        <v>279029.09000000003</v>
      </c>
      <c r="T338" s="32">
        <f>IFERROR(VLOOKUP(G338,'Base Execução'!$A:$K,11,FALSE),0)</f>
        <v>276128.92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280</v>
      </c>
      <c r="N339" s="32">
        <f>IFERROR(VLOOKUP(G339,'Base Zero'!$A:$P,16,FALSE),0)</f>
        <v>299720</v>
      </c>
      <c r="O339" s="32">
        <f>IFERROR(VLOOKUP(G339,'Base Execução'!A:M,6,FALSE),0)+IFERROR(VLOOKUP(G339,'Destaque Liberado pela CPRM'!A:F,6,FALSE),0)</f>
        <v>299720</v>
      </c>
      <c r="P339" s="232">
        <f>+N339-O339</f>
        <v>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299720</v>
      </c>
      <c r="T339" s="32">
        <f>IFERROR(VLOOKUP(G339,'Base Execução'!$A:$K,11,FALSE),0)</f>
        <v>299720</v>
      </c>
      <c r="U339" s="298"/>
    </row>
    <row r="340" spans="1:33" ht="24.95" customHeight="1" x14ac:dyDescent="0.2">
      <c r="A340" s="272"/>
      <c r="B340" s="424" t="s">
        <v>284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221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732531.08</v>
      </c>
      <c r="P341" s="229">
        <f t="shared" si="160"/>
        <v>94468.920000000042</v>
      </c>
      <c r="Q341" s="22">
        <f t="shared" si="160"/>
        <v>0</v>
      </c>
      <c r="R341" s="22">
        <f t="shared" si="160"/>
        <v>677479.7</v>
      </c>
      <c r="S341" s="22">
        <f t="shared" si="160"/>
        <v>556056.72</v>
      </c>
      <c r="T341" s="22">
        <f t="shared" si="160"/>
        <v>551348.07999999996</v>
      </c>
      <c r="U341" s="154">
        <f>+IFERROR((R341/N341),0%)</f>
        <v>0.81920157194679555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732531.08</v>
      </c>
      <c r="P342" s="232">
        <f>+N342-O342</f>
        <v>94468.920000000042</v>
      </c>
      <c r="Q342" s="35"/>
      <c r="R342" s="231">
        <f>IFERROR(VLOOKUP(G342,'Base Execução'!$A:$K,7,FALSE),0)</f>
        <v>677479.7</v>
      </c>
      <c r="S342" s="231">
        <f>IFERROR(VLOOKUP(G342,'Base Execução'!$A:$K,9,FALSE),0)</f>
        <v>556056.72</v>
      </c>
      <c r="T342" s="32">
        <f>IFERROR(VLOOKUP(G342,'Base Execução'!$A:$K,11,FALSE),0)</f>
        <v>551348.07999999996</v>
      </c>
      <c r="U342" s="298"/>
    </row>
    <row r="343" spans="1:33" ht="15" customHeight="1" x14ac:dyDescent="0.2">
      <c r="A343" s="272"/>
      <c r="B343" s="424" t="s">
        <v>285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1517031.85</v>
      </c>
      <c r="P344" s="229">
        <f t="shared" si="161"/>
        <v>60968.149999999907</v>
      </c>
      <c r="Q344" s="22">
        <f t="shared" si="161"/>
        <v>0</v>
      </c>
      <c r="R344" s="22">
        <f t="shared" si="161"/>
        <v>1426515.68</v>
      </c>
      <c r="S344" s="22">
        <f t="shared" si="161"/>
        <v>1025122.63</v>
      </c>
      <c r="T344" s="22">
        <f t="shared" si="161"/>
        <v>1011027.21</v>
      </c>
      <c r="U344" s="154">
        <f>+IFERROR((R344/N344),0%)</f>
        <v>0.90400233206590619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1517031.85</v>
      </c>
      <c r="P345" s="232">
        <f>+N345-O345</f>
        <v>60968.149999999907</v>
      </c>
      <c r="Q345" s="35"/>
      <c r="R345" s="231">
        <f>IFERROR(VLOOKUP(G345,'Base Execução'!$A:$K,7,FALSE),0)</f>
        <v>1426515.68</v>
      </c>
      <c r="S345" s="231">
        <f>IFERROR(VLOOKUP(G345,'Base Execução'!$A:$K,9,FALSE),0)</f>
        <v>1025122.63</v>
      </c>
      <c r="T345" s="32">
        <f>IFERROR(VLOOKUP(G345,'Base Execução'!$A:$K,11,FALSE),0)</f>
        <v>1011027.21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355020.62</v>
      </c>
      <c r="P347" s="229">
        <f t="shared" si="162"/>
        <v>47979.380000000005</v>
      </c>
      <c r="Q347" s="22">
        <f t="shared" si="162"/>
        <v>0</v>
      </c>
      <c r="R347" s="22">
        <f t="shared" si="162"/>
        <v>291962.09000000003</v>
      </c>
      <c r="S347" s="22">
        <f t="shared" si="162"/>
        <v>232692.19</v>
      </c>
      <c r="T347" s="22">
        <f t="shared" si="162"/>
        <v>230365.3</v>
      </c>
      <c r="U347" s="154">
        <f>+IFERROR((R347/N347),0%)</f>
        <v>0.72447168734491318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355020.62</v>
      </c>
      <c r="P348" s="232">
        <f>+N348-O348</f>
        <v>47979.380000000005</v>
      </c>
      <c r="Q348" s="35"/>
      <c r="R348" s="231">
        <f>IFERROR(VLOOKUP(G348,'Base Execução'!$A:$K,7,FALSE),0)</f>
        <v>291962.09000000003</v>
      </c>
      <c r="S348" s="231">
        <f>IFERROR(VLOOKUP(G348,'Base Execução'!$A:$K,9,FALSE),0)</f>
        <v>232692.19</v>
      </c>
      <c r="T348" s="32">
        <f>IFERROR(VLOOKUP(G348,'Base Execução'!$A:$K,11,FALSE),0)</f>
        <v>230365.3</v>
      </c>
      <c r="U348" s="298"/>
    </row>
    <row r="349" spans="1:33" ht="15" customHeight="1" x14ac:dyDescent="0.2">
      <c r="A349" s="272"/>
      <c r="B349" s="424" t="s">
        <v>286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2276416.4500000002</v>
      </c>
      <c r="P350" s="229">
        <f t="shared" si="163"/>
        <v>364583.54999999981</v>
      </c>
      <c r="Q350" s="22">
        <f t="shared" si="163"/>
        <v>0</v>
      </c>
      <c r="R350" s="22">
        <f t="shared" si="163"/>
        <v>2033582.07</v>
      </c>
      <c r="S350" s="22">
        <f t="shared" si="163"/>
        <v>568844.65</v>
      </c>
      <c r="T350" s="22">
        <f t="shared" si="163"/>
        <v>462890.83</v>
      </c>
      <c r="U350" s="154">
        <f>+IFERROR((R350/N350),0%)</f>
        <v>0.77000457023854607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2276416.4500000002</v>
      </c>
      <c r="P351" s="232">
        <f>+N351-O351</f>
        <v>364583.54999999981</v>
      </c>
      <c r="Q351" s="35"/>
      <c r="R351" s="231">
        <f>IFERROR(VLOOKUP(G351,'Base Execução'!$A:$K,7,FALSE),0)</f>
        <v>2033582.07</v>
      </c>
      <c r="S351" s="231">
        <f>IFERROR(VLOOKUP(G351,'Base Execução'!$A:$K,9,FALSE),0)</f>
        <v>568844.65</v>
      </c>
      <c r="T351" s="32">
        <f>IFERROR(VLOOKUP(G351,'Base Execução'!$A:$K,11,FALSE),0)</f>
        <v>462890.83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287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232000</v>
      </c>
      <c r="N353" s="22">
        <f t="shared" si="164"/>
        <v>14502275</v>
      </c>
      <c r="O353" s="22">
        <f t="shared" si="164"/>
        <v>14391609.920000002</v>
      </c>
      <c r="P353" s="22">
        <f t="shared" si="164"/>
        <v>110665.08000000005</v>
      </c>
      <c r="Q353" s="22">
        <f t="shared" si="164"/>
        <v>0</v>
      </c>
      <c r="R353" s="22">
        <f t="shared" si="164"/>
        <v>12533789.100000001</v>
      </c>
      <c r="S353" s="22">
        <f t="shared" si="164"/>
        <v>5575264.1900000004</v>
      </c>
      <c r="T353" s="22">
        <f t="shared" si="164"/>
        <v>5357255.49</v>
      </c>
      <c r="U353" s="156">
        <f>+IFERROR((R353/N353),0%)</f>
        <v>0.86426364828966495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326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232000</v>
      </c>
      <c r="N355" s="32">
        <f t="shared" si="165"/>
        <v>11089353</v>
      </c>
      <c r="O355" s="32">
        <f t="shared" si="165"/>
        <v>11011179.300000001</v>
      </c>
      <c r="P355" s="32">
        <f t="shared" si="165"/>
        <v>78173.700000000186</v>
      </c>
      <c r="Q355" s="32">
        <f t="shared" si="165"/>
        <v>0</v>
      </c>
      <c r="R355" s="32">
        <f t="shared" si="165"/>
        <v>9175851.1400000006</v>
      </c>
      <c r="S355" s="32">
        <f t="shared" si="165"/>
        <v>4387804.2300000004</v>
      </c>
      <c r="T355" s="32">
        <f t="shared" si="165"/>
        <v>4169795.5300000003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3380430.62</v>
      </c>
      <c r="P356" s="32">
        <f t="shared" si="166"/>
        <v>32491.379999999859</v>
      </c>
      <c r="Q356" s="32">
        <f t="shared" si="166"/>
        <v>0</v>
      </c>
      <c r="R356" s="32">
        <f t="shared" si="166"/>
        <v>3357937.96</v>
      </c>
      <c r="S356" s="32">
        <f t="shared" si="166"/>
        <v>1187459.96</v>
      </c>
      <c r="T356" s="32">
        <f t="shared" si="166"/>
        <v>1187459.96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288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348205.66000000003</v>
      </c>
      <c r="P359" s="21">
        <f t="shared" si="167"/>
        <v>1794.3399999999965</v>
      </c>
      <c r="Q359" s="21">
        <f t="shared" si="167"/>
        <v>0</v>
      </c>
      <c r="R359" s="21">
        <f t="shared" si="167"/>
        <v>347746.85</v>
      </c>
      <c r="S359" s="21">
        <f t="shared" si="167"/>
        <v>347746.85</v>
      </c>
      <c r="T359" s="21">
        <f t="shared" si="167"/>
        <v>347746.83999999997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199895.5</v>
      </c>
      <c r="P360" s="231">
        <f>+N360-O360</f>
        <v>104.5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199846.69</v>
      </c>
      <c r="T360" s="32">
        <f>IFERROR(VLOOKUP(G360,'Base Execução'!$A:$K,11,FALSE),0)</f>
        <v>199846.68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147900.16</v>
      </c>
      <c r="T361" s="32">
        <f>IFERROR(VLOOKUP(G361,'Base Execução'!$A:$K,11,FALSE),0)</f>
        <v>147900.16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289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5982409.6600000001</v>
      </c>
      <c r="P363" s="229">
        <f t="shared" si="168"/>
        <v>17590.339999999851</v>
      </c>
      <c r="Q363" s="22">
        <f t="shared" si="168"/>
        <v>0</v>
      </c>
      <c r="R363" s="22">
        <f t="shared" si="168"/>
        <v>4975662.49</v>
      </c>
      <c r="S363" s="22">
        <f t="shared" si="168"/>
        <v>1320827.1200000001</v>
      </c>
      <c r="T363" s="22">
        <f t="shared" si="168"/>
        <v>1275874.26</v>
      </c>
      <c r="U363" s="154">
        <f>+IFERROR((R363/N363),0%)</f>
        <v>0.82927708166666669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3539578</v>
      </c>
      <c r="P364" s="231">
        <f>+N364-O364</f>
        <v>0</v>
      </c>
      <c r="Q364" s="32"/>
      <c r="R364" s="231">
        <f>IFERROR(VLOOKUP(G364,'Base Execução'!$A:$K,7,FALSE),0)</f>
        <v>2554913.4900000002</v>
      </c>
      <c r="S364" s="231">
        <f>IFERROR(VLOOKUP(G364,'Base Execução'!$A:$K,9,FALSE),0)</f>
        <v>950556.12</v>
      </c>
      <c r="T364" s="32">
        <f>IFERROR(VLOOKUP(G364,'Base Execução'!$A:$K,11,FALSE),0)</f>
        <v>905603.26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2442831.66</v>
      </c>
      <c r="P365" s="231">
        <f>+N365-O365</f>
        <v>17590.339999999851</v>
      </c>
      <c r="Q365" s="32"/>
      <c r="R365" s="231">
        <f>IFERROR(VLOOKUP(G365,'Base Execução'!$A:$K,7,FALSE),0)</f>
        <v>2420749</v>
      </c>
      <c r="S365" s="231">
        <f>IFERROR(VLOOKUP(G365,'Base Execução'!$A:$K,9,FALSE),0)</f>
        <v>370271</v>
      </c>
      <c r="T365" s="32">
        <f>IFERROR(VLOOKUP(G365,'Base Execução'!$A:$K,11,FALSE),0)</f>
        <v>370271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232000</v>
      </c>
      <c r="N367" s="22">
        <f t="shared" si="169"/>
        <v>3879110</v>
      </c>
      <c r="O367" s="22">
        <f t="shared" si="169"/>
        <v>3870528.09</v>
      </c>
      <c r="P367" s="229">
        <f>SUM(P368:P369)</f>
        <v>8581.910000000149</v>
      </c>
      <c r="Q367" s="22">
        <f>SUM(Q368:Q369)</f>
        <v>0</v>
      </c>
      <c r="R367" s="22">
        <f>SUM(R368:R369)</f>
        <v>3106373.05</v>
      </c>
      <c r="S367" s="22">
        <f>SUM(S368:S369)</f>
        <v>1044163.39</v>
      </c>
      <c r="T367" s="22">
        <f>SUM(T368:T369)</f>
        <v>993949.9</v>
      </c>
      <c r="U367" s="154">
        <f>+IFERROR((R367/N367),0%)</f>
        <v>0.80079529840607766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232000</v>
      </c>
      <c r="N368" s="32">
        <f>IFERROR(VLOOKUP(G368,'Base Zero'!$A:$P,16,FALSE),0)</f>
        <v>3681610</v>
      </c>
      <c r="O368" s="32">
        <f>IFERROR(VLOOKUP(G368,'Base Execução'!A:M,6,FALSE),0)+IFERROR(VLOOKUP(G368,'Destaque Liberado pela CPRM'!A:F,6,FALSE),0)</f>
        <v>3680528.09</v>
      </c>
      <c r="P368" s="231">
        <f>+N368-O368</f>
        <v>1081.910000000149</v>
      </c>
      <c r="Q368" s="32"/>
      <c r="R368" s="231">
        <f>IFERROR(VLOOKUP(G368,'Base Execução'!$A:$K,7,FALSE),0)</f>
        <v>2916373.05</v>
      </c>
      <c r="S368" s="231">
        <f>IFERROR(VLOOKUP(G368,'Base Execução'!$A:$K,9,FALSE),0)</f>
        <v>974163.39</v>
      </c>
      <c r="T368" s="32">
        <f>IFERROR(VLOOKUP(G368,'Base Execução'!$A:$K,11,FALSE),0)</f>
        <v>923949.9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70000</v>
      </c>
      <c r="T369" s="32">
        <f>IFERROR(VLOOKUP(G369,'Base Execução'!$A:$K,11,FALSE),0)</f>
        <v>70000</v>
      </c>
      <c r="U369" s="155"/>
    </row>
    <row r="370" spans="1:33" s="11" customFormat="1" ht="15" customHeight="1" x14ac:dyDescent="0.2">
      <c r="A370" s="95"/>
      <c r="B370" s="424" t="s">
        <v>290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2574753.96</v>
      </c>
      <c r="P371" s="229">
        <f>SUM(P372:P373)</f>
        <v>46246.040000000095</v>
      </c>
      <c r="Q371" s="22">
        <f>SUM(Q372:Q373)</f>
        <v>0</v>
      </c>
      <c r="R371" s="22">
        <f>SUM(R372:R373)</f>
        <v>2515465.62</v>
      </c>
      <c r="S371" s="22">
        <f>SUM(S372:S373)</f>
        <v>1657800.56</v>
      </c>
      <c r="T371" s="22">
        <f>SUM(T372:T373)</f>
        <v>1591011.6600000001</v>
      </c>
      <c r="U371" s="154">
        <f>+IFERROR((R371/N371),0%)</f>
        <v>0.95973507058374674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2085465.16</v>
      </c>
      <c r="P372" s="231">
        <f>+N372-O372</f>
        <v>40534.840000000084</v>
      </c>
      <c r="Q372" s="32"/>
      <c r="R372" s="231">
        <f>IFERROR(VLOOKUP(G372,'Base Execução'!$A:$K,7,FALSE),0)</f>
        <v>2026176.82</v>
      </c>
      <c r="S372" s="231">
        <f>IFERROR(VLOOKUP(G372,'Base Execução'!$A:$K,9,FALSE),0)</f>
        <v>1168511.76</v>
      </c>
      <c r="T372" s="32">
        <f>IFERROR(VLOOKUP(G372,'Base Execução'!$A:$K,11,FALSE),0)</f>
        <v>1101722.8600000001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489288.8</v>
      </c>
      <c r="T373" s="32">
        <f>IFERROR(VLOOKUP(G373,'Base Execução'!$A:$K,11,FALSE),0)</f>
        <v>489288.8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1615712.55</v>
      </c>
      <c r="P375" s="229">
        <f t="shared" si="171"/>
        <v>36452.449999999953</v>
      </c>
      <c r="Q375" s="22">
        <f t="shared" si="171"/>
        <v>0</v>
      </c>
      <c r="R375" s="22">
        <f t="shared" si="171"/>
        <v>1588541.09</v>
      </c>
      <c r="S375" s="22">
        <f t="shared" si="171"/>
        <v>1204726.27</v>
      </c>
      <c r="T375" s="22">
        <f t="shared" si="171"/>
        <v>1148672.83</v>
      </c>
      <c r="U375" s="154">
        <f>+IFERROR((R375/N375),0%)</f>
        <v>0.96149058356762196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1505712.55</v>
      </c>
      <c r="P376" s="231">
        <f>+N376-O376</f>
        <v>36452.449999999953</v>
      </c>
      <c r="Q376" s="32"/>
      <c r="R376" s="231">
        <f>IFERROR(VLOOKUP(G376,'Base Execução'!$A:$K,7,FALSE),0)</f>
        <v>1478541.09</v>
      </c>
      <c r="S376" s="231">
        <f>IFERROR(VLOOKUP(G376,'Base Execução'!$A:$K,9,FALSE),0)</f>
        <v>1094726.27</v>
      </c>
      <c r="T376" s="32">
        <f>IFERROR(VLOOKUP(G376,'Base Execução'!$A:$K,11,FALSE),0)</f>
        <v>1038672.83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110000</v>
      </c>
      <c r="T377" s="32">
        <f>IFERROR(VLOOKUP(G377,'Base Execução'!$A:$K,11,FALSE),0)</f>
        <v>110000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291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8430032.5099999998</v>
      </c>
      <c r="P379" s="21">
        <f t="shared" si="172"/>
        <v>69967.489999999991</v>
      </c>
      <c r="Q379" s="22">
        <f>SUM(Q382:Q384)</f>
        <v>0</v>
      </c>
      <c r="R379" s="21">
        <f t="shared" si="172"/>
        <v>7636622.4399999995</v>
      </c>
      <c r="S379" s="21">
        <f t="shared" si="172"/>
        <v>4090338.7699999996</v>
      </c>
      <c r="T379" s="21">
        <f t="shared" si="172"/>
        <v>3887545.8499999996</v>
      </c>
      <c r="U379" s="156">
        <f>+IFERROR((R379/N379),0%)</f>
        <v>0.89842616941176467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327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5692518</v>
      </c>
      <c r="P382" s="32">
        <f t="shared" si="174"/>
        <v>0</v>
      </c>
      <c r="Q382" s="32">
        <f t="shared" si="174"/>
        <v>0</v>
      </c>
      <c r="R382" s="32">
        <f t="shared" si="174"/>
        <v>5097824.55</v>
      </c>
      <c r="S382" s="32">
        <f t="shared" si="174"/>
        <v>3237432.86</v>
      </c>
      <c r="T382" s="32">
        <f t="shared" si="174"/>
        <v>3105402.36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981448.55</v>
      </c>
      <c r="P383" s="32">
        <f t="shared" si="175"/>
        <v>18551.449999999953</v>
      </c>
      <c r="Q383" s="32">
        <f t="shared" si="175"/>
        <v>0</v>
      </c>
      <c r="R383" s="32">
        <f t="shared" si="175"/>
        <v>791814.23</v>
      </c>
      <c r="S383" s="32">
        <f t="shared" si="175"/>
        <v>15561.55</v>
      </c>
      <c r="T383" s="32">
        <f t="shared" si="175"/>
        <v>15561.55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1756065.96</v>
      </c>
      <c r="P384" s="32">
        <f t="shared" si="176"/>
        <v>51416.040000000037</v>
      </c>
      <c r="Q384" s="32">
        <f t="shared" si="176"/>
        <v>0</v>
      </c>
      <c r="R384" s="32">
        <f t="shared" si="176"/>
        <v>1746983.66</v>
      </c>
      <c r="S384" s="32">
        <f t="shared" si="176"/>
        <v>837344.36</v>
      </c>
      <c r="T384" s="32">
        <f t="shared" si="176"/>
        <v>766581.94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292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8430032.5099999998</v>
      </c>
      <c r="P387" s="22">
        <f t="shared" si="177"/>
        <v>69967.489999999991</v>
      </c>
      <c r="Q387" s="22">
        <f>SUM(Q389:Q391)</f>
        <v>0</v>
      </c>
      <c r="R387" s="22">
        <f>SUM(R388:R391)</f>
        <v>7636622.4399999995</v>
      </c>
      <c r="S387" s="22">
        <f>SUM(S388:S391)</f>
        <v>4090338.7699999996</v>
      </c>
      <c r="T387" s="22">
        <f>SUM(T388:T391)</f>
        <v>3887545.8499999996</v>
      </c>
      <c r="U387" s="154">
        <f>+IFERROR((R387/N387),0%)</f>
        <v>0.89842616941176467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5692518</v>
      </c>
      <c r="P389" s="231">
        <f>+N389-O389</f>
        <v>0</v>
      </c>
      <c r="Q389" s="32"/>
      <c r="R389" s="231">
        <f>IFERROR(VLOOKUP(G389,'Base Execução'!$A:$K,7,FALSE),0)</f>
        <v>5097824.55</v>
      </c>
      <c r="S389" s="231">
        <f>IFERROR(VLOOKUP(G389,'Base Execução'!$A:$K,9,FALSE),0)</f>
        <v>3237432.86</v>
      </c>
      <c r="T389" s="32">
        <f>IFERROR(VLOOKUP(G389,'Base Execução'!$A:$K,11,FALSE),0)</f>
        <v>3105402.36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981448.55</v>
      </c>
      <c r="P390" s="231">
        <f>+N390-O390</f>
        <v>18551.449999999953</v>
      </c>
      <c r="Q390" s="33"/>
      <c r="R390" s="231">
        <f>IFERROR(VLOOKUP(G390,'Base Execução'!$A:$K,7,FALSE),0)</f>
        <v>791814.23</v>
      </c>
      <c r="S390" s="231">
        <f>IFERROR(VLOOKUP(G390,'Base Execução'!$A:$K,9,FALSE),0)</f>
        <v>15561.55</v>
      </c>
      <c r="T390" s="32">
        <f>IFERROR(VLOOKUP(G390,'Base Execução'!$A:$K,11,FALSE),0)</f>
        <v>15561.55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1756065.96</v>
      </c>
      <c r="P391" s="231">
        <f>+N391-O391</f>
        <v>51416.040000000037</v>
      </c>
      <c r="Q391" s="33"/>
      <c r="R391" s="231">
        <f>IFERROR(VLOOKUP(G391,'Base Execução'!$A:$K,7,FALSE),0)</f>
        <v>1746983.66</v>
      </c>
      <c r="S391" s="231">
        <f>IFERROR(VLOOKUP(G391,'Base Execução'!$A:$K,9,FALSE),0)</f>
        <v>837344.36</v>
      </c>
      <c r="T391" s="32">
        <f>IFERROR(VLOOKUP(G391,'Base Execução'!$A:$K,11,FALSE),0)</f>
        <v>766581.94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293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730383.95000000007</v>
      </c>
      <c r="P393" s="21">
        <f t="shared" si="178"/>
        <v>166965.04999999999</v>
      </c>
      <c r="Q393" s="22">
        <f>SUM(Q397:Q398)</f>
        <v>0</v>
      </c>
      <c r="R393" s="21">
        <f t="shared" si="178"/>
        <v>671447.54</v>
      </c>
      <c r="S393" s="21">
        <f t="shared" si="178"/>
        <v>520084.66000000003</v>
      </c>
      <c r="T393" s="21">
        <f t="shared" si="178"/>
        <v>509575.24</v>
      </c>
      <c r="U393" s="156">
        <f>+IFERROR((R393/N393),0%)</f>
        <v>0.74825685435655476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328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728997.95000000007</v>
      </c>
      <c r="P397" s="32">
        <f t="shared" si="181"/>
        <v>166965.04999999999</v>
      </c>
      <c r="Q397" s="32">
        <f t="shared" si="181"/>
        <v>0</v>
      </c>
      <c r="R397" s="32">
        <f t="shared" si="181"/>
        <v>671447.54</v>
      </c>
      <c r="S397" s="32">
        <f t="shared" si="181"/>
        <v>520084.66000000003</v>
      </c>
      <c r="T397" s="32">
        <f t="shared" si="181"/>
        <v>509575.24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-43614</v>
      </c>
      <c r="L401" s="21">
        <f t="shared" si="183"/>
        <v>181386</v>
      </c>
      <c r="M401" s="21">
        <f t="shared" si="183"/>
        <v>0</v>
      </c>
      <c r="N401" s="21">
        <f t="shared" si="183"/>
        <v>181386</v>
      </c>
      <c r="O401" s="21">
        <f t="shared" si="183"/>
        <v>153325.95000000001</v>
      </c>
      <c r="P401" s="228">
        <f t="shared" si="183"/>
        <v>28060.049999999988</v>
      </c>
      <c r="Q401" s="21">
        <f t="shared" si="183"/>
        <v>0</v>
      </c>
      <c r="R401" s="21">
        <f t="shared" si="183"/>
        <v>143098.23000000001</v>
      </c>
      <c r="S401" s="21">
        <f t="shared" si="183"/>
        <v>93628.25</v>
      </c>
      <c r="T401" s="21">
        <f t="shared" si="183"/>
        <v>92242.6</v>
      </c>
      <c r="U401" s="154">
        <f>+IFERROR((R401/N401),0%)</f>
        <v>0.78891551718434727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-20000</v>
      </c>
      <c r="L402" s="32">
        <f>IFERROR(VLOOKUP(G402,'Base Zero'!$A:$L,10,FALSE),0)</f>
        <v>180000</v>
      </c>
      <c r="M402" s="32">
        <f>+L402-N402</f>
        <v>0</v>
      </c>
      <c r="N402" s="32">
        <f>IFERROR(VLOOKUP(G402,'Base Zero'!$A:$P,16,FALSE),0)</f>
        <v>180000</v>
      </c>
      <c r="O402" s="32">
        <f>IFERROR(VLOOKUP(G402,'Base Execução'!A:M,6,FALSE),0)+IFERROR(VLOOKUP(G402,'Destaque Liberado pela CPRM'!A:F,6,FALSE),0)</f>
        <v>151939.95000000001</v>
      </c>
      <c r="P402" s="231">
        <f>+N402-O402</f>
        <v>28060.049999999988</v>
      </c>
      <c r="Q402" s="32"/>
      <c r="R402" s="231">
        <f>IFERROR(VLOOKUP(G402,'Base Execução'!$A:$K,7,FALSE),0)</f>
        <v>143098.23000000001</v>
      </c>
      <c r="S402" s="231">
        <f>IFERROR(VLOOKUP(G402,'Base Execução'!$A:$K,9,FALSE),0)</f>
        <v>93628.25</v>
      </c>
      <c r="T402" s="32">
        <f>IFERROR(VLOOKUP(G402,'Base Execução'!$A:$K,11,FALSE),0)</f>
        <v>92242.6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306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-50000</v>
      </c>
      <c r="L408" s="21">
        <f t="shared" si="185"/>
        <v>225000</v>
      </c>
      <c r="M408" s="21">
        <f t="shared" si="185"/>
        <v>0</v>
      </c>
      <c r="N408" s="21">
        <f t="shared" si="185"/>
        <v>225000</v>
      </c>
      <c r="O408" s="21">
        <f t="shared" si="185"/>
        <v>178626.24</v>
      </c>
      <c r="P408" s="228">
        <f t="shared" si="185"/>
        <v>46373.760000000009</v>
      </c>
      <c r="Q408" s="21">
        <f t="shared" si="185"/>
        <v>0</v>
      </c>
      <c r="R408" s="21">
        <f t="shared" si="185"/>
        <v>174296.17</v>
      </c>
      <c r="S408" s="21">
        <f t="shared" si="185"/>
        <v>149006.17000000001</v>
      </c>
      <c r="T408" s="21">
        <f t="shared" si="185"/>
        <v>147094.35999999999</v>
      </c>
      <c r="U408" s="154">
        <f>+IFERROR((R408/N408),0%)</f>
        <v>0.77464964444444451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-50000</v>
      </c>
      <c r="L409" s="32">
        <f>IFERROR(VLOOKUP(G409,'Base Zero'!$A:$L,10,FALSE),0)</f>
        <v>225000</v>
      </c>
      <c r="M409" s="32">
        <f>+L409-N409</f>
        <v>0</v>
      </c>
      <c r="N409" s="32">
        <f>IFERROR(VLOOKUP(G409,'Base Zero'!$A:$P,16,FALSE),0)</f>
        <v>225000</v>
      </c>
      <c r="O409" s="32">
        <f>IFERROR(VLOOKUP(G409,'Base Execução'!A:M,6,FALSE),0)+IFERROR(VLOOKUP(G409,'Destaque Liberado pela CPRM'!A:F,6,FALSE),0)</f>
        <v>178626.24</v>
      </c>
      <c r="P409" s="231">
        <f>+N409-O409</f>
        <v>46373.760000000009</v>
      </c>
      <c r="Q409" s="32"/>
      <c r="R409" s="231">
        <f>IFERROR(VLOOKUP(G409,'Base Execução'!$A:$K,7,FALSE),0)</f>
        <v>174296.17</v>
      </c>
      <c r="S409" s="231">
        <f>IFERROR(VLOOKUP(G409,'Base Execução'!$A:$K,9,FALSE),0)</f>
        <v>149006.17000000001</v>
      </c>
      <c r="T409" s="32">
        <f>IFERROR(VLOOKUP(G409,'Base Execução'!$A:$K,11,FALSE),0)</f>
        <v>147094.35999999999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294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-44037</v>
      </c>
      <c r="L411" s="21">
        <f t="shared" si="186"/>
        <v>305963</v>
      </c>
      <c r="M411" s="21">
        <f t="shared" si="186"/>
        <v>0</v>
      </c>
      <c r="N411" s="21">
        <f t="shared" si="186"/>
        <v>305963</v>
      </c>
      <c r="O411" s="21">
        <f t="shared" si="186"/>
        <v>239142.47</v>
      </c>
      <c r="P411" s="228">
        <f t="shared" si="186"/>
        <v>66820.53</v>
      </c>
      <c r="Q411" s="21">
        <f t="shared" si="186"/>
        <v>0</v>
      </c>
      <c r="R411" s="21">
        <f t="shared" si="186"/>
        <v>201241.24</v>
      </c>
      <c r="S411" s="21">
        <f t="shared" si="186"/>
        <v>161105.62</v>
      </c>
      <c r="T411" s="21">
        <f t="shared" si="186"/>
        <v>160527.01999999999</v>
      </c>
      <c r="U411" s="154">
        <f>+IFERROR((R411/N411),0%)</f>
        <v>0.65773064063301767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-44037</v>
      </c>
      <c r="L412" s="32">
        <f>IFERROR(VLOOKUP(G412,'Base Zero'!$A:$L,10,FALSE),0)</f>
        <v>305963</v>
      </c>
      <c r="M412" s="32">
        <f>+L412-N412</f>
        <v>0</v>
      </c>
      <c r="N412" s="32">
        <f>IFERROR(VLOOKUP(G412,'Base Zero'!$A:$P,16,FALSE),0)</f>
        <v>305963</v>
      </c>
      <c r="O412" s="32">
        <f>IFERROR(VLOOKUP(G412,'Base Execução'!A:M,6,FALSE),0)+IFERROR(VLOOKUP(G412,'Destaque Liberado pela CPRM'!A:F,6,FALSE),0)</f>
        <v>239142.47</v>
      </c>
      <c r="P412" s="231">
        <f>+N412-O412</f>
        <v>66820.53</v>
      </c>
      <c r="Q412" s="32"/>
      <c r="R412" s="231">
        <f>IFERROR(VLOOKUP(G412,'Base Execução'!$A:$K,7,FALSE),0)</f>
        <v>201241.24</v>
      </c>
      <c r="S412" s="231">
        <f>IFERROR(VLOOKUP(G412,'Base Execução'!$A:$K,9,FALSE),0)</f>
        <v>161105.62</v>
      </c>
      <c r="T412" s="32">
        <f>IFERROR(VLOOKUP(G412,'Base Execução'!$A:$K,11,FALSE),0)</f>
        <v>160527.01999999999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35000</v>
      </c>
      <c r="L414" s="21">
        <f t="shared" si="187"/>
        <v>185000</v>
      </c>
      <c r="M414" s="21">
        <f t="shared" si="187"/>
        <v>0</v>
      </c>
      <c r="N414" s="21">
        <f t="shared" si="187"/>
        <v>185000</v>
      </c>
      <c r="O414" s="21">
        <f t="shared" si="187"/>
        <v>159289.29</v>
      </c>
      <c r="P414" s="228">
        <f t="shared" si="187"/>
        <v>25710.709999999992</v>
      </c>
      <c r="Q414" s="21">
        <f t="shared" si="187"/>
        <v>0</v>
      </c>
      <c r="R414" s="21">
        <f t="shared" si="187"/>
        <v>152811.9</v>
      </c>
      <c r="S414" s="21">
        <f t="shared" si="187"/>
        <v>116344.62</v>
      </c>
      <c r="T414" s="21">
        <f t="shared" si="187"/>
        <v>109711.26</v>
      </c>
      <c r="U414" s="154">
        <f>+IFERROR((R414/N414),0%)</f>
        <v>0.82601027027027019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35000</v>
      </c>
      <c r="L415" s="32">
        <f>IFERROR(VLOOKUP(G415,'Base Zero'!$A:$L,10,FALSE),0)</f>
        <v>185000</v>
      </c>
      <c r="M415" s="32">
        <f>+L415-N415</f>
        <v>0</v>
      </c>
      <c r="N415" s="32">
        <f>IFERROR(VLOOKUP(G415,'Base Zero'!$A:$P,16,FALSE),0)</f>
        <v>185000</v>
      </c>
      <c r="O415" s="32">
        <f>IFERROR(VLOOKUP(G415,'Base Execução'!A:M,6,FALSE),0)+IFERROR(VLOOKUP(G415,'Destaque Liberado pela CPRM'!A:F,6,FALSE),0)</f>
        <v>159289.29</v>
      </c>
      <c r="P415" s="231">
        <f>+N415-O415</f>
        <v>25710.709999999992</v>
      </c>
      <c r="Q415" s="32"/>
      <c r="R415" s="231">
        <f>IFERROR(VLOOKUP(G415,'Base Execução'!$A:$K,7,FALSE),0)</f>
        <v>152811.9</v>
      </c>
      <c r="S415" s="231">
        <f>IFERROR(VLOOKUP(G415,'Base Execução'!$A:$K,9,FALSE),0)</f>
        <v>116344.62</v>
      </c>
      <c r="T415" s="32">
        <f>IFERROR(VLOOKUP(G415,'Base Execução'!$A:$K,11,FALSE),0)</f>
        <v>109711.26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>K393+K379+K353+K327+K291+K281+K257+K248+K224+K208+K183+K149+K139+K125+K97+K83+K65+K57+K37+K29+K9</f>
        <v>-742547</v>
      </c>
      <c r="L417" s="412">
        <f t="shared" si="188"/>
        <v>513367713</v>
      </c>
      <c r="M417" s="412">
        <f>M393+M379+M353+M327+M291+M281+M257+M248+M224+M208+M183+M149+M139+M125+M97+M83+M65+M57+M37+M29+M9</f>
        <v>2049535.71</v>
      </c>
      <c r="N417" s="412">
        <f t="shared" si="188"/>
        <v>511318177.28999996</v>
      </c>
      <c r="O417" s="412">
        <f t="shared" si="188"/>
        <v>406310384.11999995</v>
      </c>
      <c r="P417" s="412">
        <f>P393+P379+P353+P327+P291+P281+P257+P248+P224+P208+P183+P149+P139+P125+P97+P83+P65+P57+P37+P29+P9</f>
        <v>105007793.17</v>
      </c>
      <c r="Q417" s="416"/>
      <c r="R417" s="412">
        <f>R393+R379+R353+R327+R291+R281+R257+R248+R224+R208+R183+R149+R139+R125+R97+R83+R65+R57+R37+R29+R9</f>
        <v>394929135.12000006</v>
      </c>
      <c r="S417" s="412">
        <f>S393+S379+S353+S327+S291+S281+S257+S248+S224+S208+S183+S149+S139+S125+S97+S83+S65+S57+S37+S29+S9</f>
        <v>335810076.35999995</v>
      </c>
      <c r="T417" s="412">
        <f>T393+T379+T353+T327+T291+T281+T257+T248+T224+T208+T183+T149+T139+T125+T97+T83+T65+T57+T37+T29+T9</f>
        <v>325664151.31999993</v>
      </c>
      <c r="U417" s="418">
        <f>(R417/N417)</f>
        <v>0.77237452658760353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44827</v>
      </c>
    </row>
    <row r="6" spans="1:27" ht="20.100000000000001" hidden="1" customHeight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33549907.489999998</v>
      </c>
      <c r="I12" s="141">
        <f>G12-H12</f>
        <v>1450092.5100000016</v>
      </c>
      <c r="J12" s="375">
        <f t="shared" ref="J12:J26" si="0">IFERROR((H12/G12),0%)</f>
        <v>0.95856878542857138</v>
      </c>
      <c r="K12" s="141">
        <f>'Execução Orçamentária'!R65</f>
        <v>32627757.16</v>
      </c>
      <c r="L12" s="374">
        <f t="shared" ref="L12:L26" si="1">IFERROR((K12/G12),0%)</f>
        <v>0.93222163314285711</v>
      </c>
      <c r="M12" s="141">
        <f>'Execução Orçamentária'!S65</f>
        <v>18337771.900000002</v>
      </c>
      <c r="N12" s="374">
        <f t="shared" ref="N12:N26" si="2">IFERROR((M12/G12),0%)</f>
        <v>0.52393634000000011</v>
      </c>
      <c r="O12" s="141">
        <f>'Execução Orçamentária'!T65</f>
        <v>17676930.329999998</v>
      </c>
      <c r="P12" s="374">
        <f t="shared" ref="P12:P26" si="3">IFERROR((O12/G12),0%)</f>
        <v>0.50505515228571418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1269871.25</v>
      </c>
      <c r="I13" s="340">
        <f>G13-H13</f>
        <v>9296.75</v>
      </c>
      <c r="J13" s="375">
        <f t="shared" si="0"/>
        <v>0.99273218998599089</v>
      </c>
      <c r="K13" s="340">
        <f>'Execução Orçamentária'!R139</f>
        <v>1067838.54</v>
      </c>
      <c r="L13" s="374">
        <f t="shared" si="1"/>
        <v>0.83479147383299146</v>
      </c>
      <c r="M13" s="340">
        <f>'Execução Orçamentária'!S139</f>
        <v>790066.93</v>
      </c>
      <c r="N13" s="374">
        <f t="shared" si="2"/>
        <v>0.61764125587882124</v>
      </c>
      <c r="O13" s="340">
        <f>'Execução Orçamentária'!T139</f>
        <v>778072.03</v>
      </c>
      <c r="P13" s="374">
        <f t="shared" si="3"/>
        <v>0.60826414513183569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15007882.470000001</v>
      </c>
      <c r="I14" s="141">
        <f>+G14-H14</f>
        <v>1573328.5299999993</v>
      </c>
      <c r="J14" s="375">
        <f t="shared" si="0"/>
        <v>0.90511377425931072</v>
      </c>
      <c r="K14" s="141">
        <f>'Execução Orçamentária'!R149</f>
        <v>12173405.069999998</v>
      </c>
      <c r="L14" s="374">
        <f t="shared" si="1"/>
        <v>0.73416863641624241</v>
      </c>
      <c r="M14" s="141">
        <f>'Execução Orçamentária'!S149</f>
        <v>1735230.79</v>
      </c>
      <c r="N14" s="374">
        <f t="shared" si="2"/>
        <v>0.10465042571377929</v>
      </c>
      <c r="O14" s="141">
        <f>'Execução Orçamentária'!T149</f>
        <v>1663547.7800000003</v>
      </c>
      <c r="P14" s="374">
        <f t="shared" si="3"/>
        <v>0.10032727887004153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4040540.3200000003</v>
      </c>
      <c r="I15" s="141">
        <f>+G15-H15</f>
        <v>370384.6799999997</v>
      </c>
      <c r="J15" s="375">
        <f t="shared" si="0"/>
        <v>0.916030156939871</v>
      </c>
      <c r="K15" s="141">
        <f>'Execução Orçamentária'!R183</f>
        <v>3269265.07</v>
      </c>
      <c r="L15" s="374">
        <f t="shared" si="1"/>
        <v>0.74117448607718328</v>
      </c>
      <c r="M15" s="141">
        <f>'Execução Orçamentária'!S183</f>
        <v>1524731.22</v>
      </c>
      <c r="N15" s="374">
        <f t="shared" si="2"/>
        <v>0.34567153601568829</v>
      </c>
      <c r="O15" s="141">
        <f>'Execução Orçamentária'!T183</f>
        <v>1456458.98</v>
      </c>
      <c r="P15" s="374">
        <f t="shared" si="3"/>
        <v>0.33019354897215436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250000</v>
      </c>
      <c r="G16" s="142">
        <f>'Execução Orçamentária'!N208</f>
        <v>4150000</v>
      </c>
      <c r="H16" s="142">
        <f>'Execução Orçamentária'!O208</f>
        <v>4072696.5700000003</v>
      </c>
      <c r="I16" s="141">
        <f>+G16-H16</f>
        <v>77303.429999999702</v>
      </c>
      <c r="J16" s="375">
        <f t="shared" si="0"/>
        <v>0.98137266746987961</v>
      </c>
      <c r="K16" s="141">
        <f>'Execução Orçamentária'!R208</f>
        <v>3840664.8899999997</v>
      </c>
      <c r="L16" s="374">
        <f t="shared" si="1"/>
        <v>0.92546141927710834</v>
      </c>
      <c r="M16" s="141">
        <f>'Execução Orçamentária'!S208</f>
        <v>2472931.91</v>
      </c>
      <c r="N16" s="374">
        <f t="shared" si="2"/>
        <v>0.59588720722891575</v>
      </c>
      <c r="O16" s="141">
        <f>'Execução Orçamentária'!T208</f>
        <v>2436892.6799999997</v>
      </c>
      <c r="P16" s="374">
        <f t="shared" si="3"/>
        <v>0.58720305542168671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2377053.4700000002</v>
      </c>
      <c r="I17" s="141">
        <f t="shared" ref="I17:I24" si="4">+G17-H17</f>
        <v>269501.5299999998</v>
      </c>
      <c r="J17" s="375">
        <f t="shared" si="0"/>
        <v>0.89816892904171652</v>
      </c>
      <c r="K17" s="141">
        <f>'Execução Orçamentária'!R224</f>
        <v>2343409.2799999998</v>
      </c>
      <c r="L17" s="374">
        <f t="shared" si="1"/>
        <v>0.88545648210598293</v>
      </c>
      <c r="M17" s="141">
        <f>'Execução Orçamentária'!S224</f>
        <v>1113492.8899999999</v>
      </c>
      <c r="N17" s="374">
        <f t="shared" si="2"/>
        <v>0.42073294906019332</v>
      </c>
      <c r="O17" s="141">
        <f>'Execução Orçamentária'!T224</f>
        <v>1096823.29</v>
      </c>
      <c r="P17" s="374">
        <f t="shared" si="3"/>
        <v>0.41443434578159155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270000</v>
      </c>
      <c r="G19" s="142">
        <f>'Execução Orçamentária'!N257</f>
        <v>8551851</v>
      </c>
      <c r="H19" s="142">
        <f>'Execução Orçamentária'!O257</f>
        <v>8442598.9000000004</v>
      </c>
      <c r="I19" s="141">
        <f t="shared" si="4"/>
        <v>109252.09999999963</v>
      </c>
      <c r="J19" s="375">
        <f t="shared" si="0"/>
        <v>0.98722474233940705</v>
      </c>
      <c r="K19" s="141">
        <f>'Execução Orçamentária'!R257</f>
        <v>7957304.9100000001</v>
      </c>
      <c r="L19" s="374">
        <f t="shared" si="1"/>
        <v>0.93047749662616897</v>
      </c>
      <c r="M19" s="141">
        <f>'Execução Orçamentária'!S257</f>
        <v>5237229.4600000009</v>
      </c>
      <c r="N19" s="374">
        <f t="shared" si="2"/>
        <v>0.61240887616026063</v>
      </c>
      <c r="O19" s="141">
        <f>'Execução Orçamentária'!T257</f>
        <v>5070402.6100000003</v>
      </c>
      <c r="P19" s="374">
        <f t="shared" si="3"/>
        <v>0.59290118712311524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1275188.07</v>
      </c>
      <c r="I20" s="141">
        <f t="shared" si="4"/>
        <v>48088.929999999935</v>
      </c>
      <c r="J20" s="375">
        <f t="shared" si="0"/>
        <v>0.96365921118556441</v>
      </c>
      <c r="K20" s="141">
        <f>'Execução Orçamentária'!R281</f>
        <v>1268196.28</v>
      </c>
      <c r="L20" s="374">
        <f t="shared" si="1"/>
        <v>0.95837551774874041</v>
      </c>
      <c r="M20" s="141">
        <f>'Execução Orçamentária'!S281</f>
        <v>1166844.97</v>
      </c>
      <c r="N20" s="374">
        <f t="shared" si="2"/>
        <v>0.88178436563168561</v>
      </c>
      <c r="O20" s="141">
        <f>'Execução Orçamentária'!T281</f>
        <v>1155435.06</v>
      </c>
      <c r="P20" s="374">
        <f t="shared" si="3"/>
        <v>0.87316190034286101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160000</v>
      </c>
      <c r="G21" s="142">
        <f>'Execução Orçamentária'!N291</f>
        <v>6656389</v>
      </c>
      <c r="H21" s="142">
        <f>'Execução Orçamentária'!O291</f>
        <v>5190895.7300000014</v>
      </c>
      <c r="I21" s="141">
        <f t="shared" si="4"/>
        <v>1465493.2699999986</v>
      </c>
      <c r="J21" s="375">
        <f t="shared" si="0"/>
        <v>0.77983659458604382</v>
      </c>
      <c r="K21" s="141">
        <f>'Execução Orçamentária'!R291</f>
        <v>4161094.88</v>
      </c>
      <c r="L21" s="374">
        <f t="shared" si="1"/>
        <v>0.62512796052033615</v>
      </c>
      <c r="M21" s="141">
        <f>'Execução Orçamentária'!S291</f>
        <v>2298283.5499999998</v>
      </c>
      <c r="N21" s="374">
        <f t="shared" si="2"/>
        <v>0.34527482543463128</v>
      </c>
      <c r="O21" s="141">
        <f>'Execução Orçamentária'!T291</f>
        <v>2129585.73</v>
      </c>
      <c r="P21" s="374">
        <f t="shared" si="3"/>
        <v>0.31993108125141123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281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291159.70999999996</v>
      </c>
      <c r="G22" s="141">
        <f>'Execução Orçamentária'!N327</f>
        <v>11197840.289999999</v>
      </c>
      <c r="H22" s="141">
        <f>'Execução Orçamentária'!O327</f>
        <v>10464739.719999999</v>
      </c>
      <c r="I22" s="141">
        <f t="shared" si="4"/>
        <v>733100.5700000003</v>
      </c>
      <c r="J22" s="375">
        <f t="shared" si="0"/>
        <v>0.93453196768177871</v>
      </c>
      <c r="K22" s="141">
        <f>'Execução Orçamentária'!R327</f>
        <v>9809203.8900000006</v>
      </c>
      <c r="L22" s="374">
        <f t="shared" si="1"/>
        <v>0.87599069427342235</v>
      </c>
      <c r="M22" s="141">
        <f>'Execução Orçamentária'!S327</f>
        <v>6589282.9700000007</v>
      </c>
      <c r="N22" s="374">
        <f t="shared" si="2"/>
        <v>0.5884423066726916</v>
      </c>
      <c r="O22" s="141">
        <f>'Execução Orçamentária'!T327</f>
        <v>6377660.3600000003</v>
      </c>
      <c r="P22" s="374">
        <f t="shared" si="3"/>
        <v>0.56954378655457683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287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232000</v>
      </c>
      <c r="G23" s="141">
        <f>'Execução Orçamentária'!N353</f>
        <v>14502275</v>
      </c>
      <c r="H23" s="141">
        <f>'Execução Orçamentária'!O353</f>
        <v>14391609.920000002</v>
      </c>
      <c r="I23" s="141">
        <f t="shared" si="4"/>
        <v>110665.07999999821</v>
      </c>
      <c r="J23" s="375">
        <f t="shared" si="0"/>
        <v>0.99236912277556466</v>
      </c>
      <c r="K23" s="141">
        <f>'Execução Orçamentária'!R353</f>
        <v>12533789.100000001</v>
      </c>
      <c r="L23" s="374">
        <f t="shared" si="1"/>
        <v>0.86426364828966495</v>
      </c>
      <c r="M23" s="141">
        <f>'Execução Orçamentária'!S353</f>
        <v>5575264.1900000004</v>
      </c>
      <c r="N23" s="374">
        <f t="shared" si="2"/>
        <v>0.38444066120660381</v>
      </c>
      <c r="O23" s="141">
        <f>'Execução Orçamentária'!T353</f>
        <v>5357255.49</v>
      </c>
      <c r="P23" s="374">
        <f t="shared" si="3"/>
        <v>0.36940793703056934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291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8430032.5099999998</v>
      </c>
      <c r="I24" s="141">
        <f t="shared" si="4"/>
        <v>69967.490000000224</v>
      </c>
      <c r="J24" s="375">
        <f t="shared" si="0"/>
        <v>0.99176853058823522</v>
      </c>
      <c r="K24" s="141">
        <f>'Execução Orçamentária'!R379</f>
        <v>7636622.4399999995</v>
      </c>
      <c r="L24" s="374">
        <f t="shared" si="1"/>
        <v>0.89842616941176467</v>
      </c>
      <c r="M24" s="141">
        <f>'Execução Orçamentária'!S379</f>
        <v>4090338.7699999996</v>
      </c>
      <c r="N24" s="374">
        <f t="shared" si="2"/>
        <v>0.48121632588235291</v>
      </c>
      <c r="O24" s="141">
        <f>'Execução Orçamentária'!T379</f>
        <v>3887545.8499999996</v>
      </c>
      <c r="P24" s="374">
        <f t="shared" si="3"/>
        <v>0.45735833529411762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293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730383.95000000007</v>
      </c>
      <c r="I25" s="147">
        <f>G25-H25</f>
        <v>166965.04999999993</v>
      </c>
      <c r="J25" s="390">
        <f t="shared" si="0"/>
        <v>0.81393521361254106</v>
      </c>
      <c r="K25" s="426">
        <f>'Execução Orçamentária'!R393</f>
        <v>671447.54</v>
      </c>
      <c r="L25" s="374">
        <f t="shared" si="1"/>
        <v>0.74825685435655476</v>
      </c>
      <c r="M25" s="426">
        <f>'Execução Orçamentária'!S393</f>
        <v>520084.66000000003</v>
      </c>
      <c r="N25" s="374">
        <f t="shared" si="2"/>
        <v>0.57957902666632499</v>
      </c>
      <c r="O25" s="426">
        <f>'Execução Orçamentária'!T393</f>
        <v>509575.24</v>
      </c>
      <c r="P25" s="374">
        <f t="shared" si="3"/>
        <v>0.56786739607443704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1203159.71</v>
      </c>
      <c r="G26" s="385">
        <f t="shared" si="5"/>
        <v>118296840.28999999</v>
      </c>
      <c r="H26" s="385">
        <f t="shared" si="5"/>
        <v>109365965.13000001</v>
      </c>
      <c r="I26" s="385">
        <f t="shared" si="5"/>
        <v>8930875.1599999983</v>
      </c>
      <c r="J26" s="386">
        <f t="shared" si="0"/>
        <v>0.92450453335772709</v>
      </c>
      <c r="K26" s="385">
        <f>SUM(K11:K25)</f>
        <v>99482563.810000017</v>
      </c>
      <c r="L26" s="386">
        <f t="shared" si="1"/>
        <v>0.84095706669867487</v>
      </c>
      <c r="M26" s="385">
        <f>SUM(M11:M25)</f>
        <v>51574118.969999999</v>
      </c>
      <c r="N26" s="386">
        <f t="shared" si="2"/>
        <v>0.43597207536201388</v>
      </c>
      <c r="O26" s="385">
        <f>SUM(O11:O25)</f>
        <v>49718750.190000005</v>
      </c>
      <c r="P26" s="386">
        <f t="shared" si="3"/>
        <v>0.42028806575151517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44827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257395931.94</v>
      </c>
      <c r="I11" s="340">
        <f>+G11-H11</f>
        <v>86267571.060000002</v>
      </c>
      <c r="J11" s="374">
        <f>IFERROR((H11/G11),0%)</f>
        <v>0.74897662886244865</v>
      </c>
      <c r="K11" s="427">
        <f>'Execução Orçamentária'!R125</f>
        <v>256021299.15000001</v>
      </c>
      <c r="L11" s="374">
        <f>IFERROR((K11/G11),0%)</f>
        <v>0.7449766906147145</v>
      </c>
      <c r="M11" s="427">
        <f>'Execução Orçamentária'!S125</f>
        <v>254747414.47</v>
      </c>
      <c r="N11" s="374">
        <f>IFERROR((M11/G11),0%)</f>
        <v>0.74126991154484045</v>
      </c>
      <c r="O11" s="427">
        <f>'Execução Orçamentária'!T125</f>
        <v>246787306.91</v>
      </c>
      <c r="P11" s="374">
        <f>IFERROR((O11/G11),0%)</f>
        <v>0.71810740668030726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22191430.579999998</v>
      </c>
      <c r="I12" s="147">
        <f>+G12-H12</f>
        <v>4397676.4200000018</v>
      </c>
      <c r="J12" s="374">
        <f t="shared" ref="J12:J19" si="0">IFERROR((H12/G12),0%)</f>
        <v>0.83460608812473458</v>
      </c>
      <c r="K12" s="141">
        <f>'Execução Orçamentária'!R83</f>
        <v>22097509.220000003</v>
      </c>
      <c r="L12" s="374">
        <f t="shared" ref="L12:L19" si="1">IFERROR((K12/G12),0%)</f>
        <v>0.831073763402434</v>
      </c>
      <c r="M12" s="141">
        <f>'Execução Orçamentária'!S83</f>
        <v>15988634.539999999</v>
      </c>
      <c r="N12" s="374">
        <f t="shared" ref="N12:N19" si="2">IFERROR((M12/G12),0%)</f>
        <v>0.60132273490794552</v>
      </c>
      <c r="O12" s="141">
        <f>'Execução Orçamentária'!T83</f>
        <v>15658406.18</v>
      </c>
      <c r="P12" s="374">
        <f t="shared" ref="P12:P19" si="3">IFERROR((O12/G12),0%)</f>
        <v>0.58890304890645628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890994.32</v>
      </c>
      <c r="I13" s="147">
        <f t="shared" ref="I13:I18" si="4">+G13-H13</f>
        <v>1058507.6800000002</v>
      </c>
      <c r="J13" s="374">
        <f t="shared" si="0"/>
        <v>0.45703688429147543</v>
      </c>
      <c r="K13" s="141">
        <f>'Execução Orçamentária'!R104</f>
        <v>873875.4</v>
      </c>
      <c r="L13" s="374">
        <f t="shared" si="1"/>
        <v>0.44825570838090961</v>
      </c>
      <c r="M13" s="141">
        <f>'Execução Orçamentária'!S104</f>
        <v>871994.08</v>
      </c>
      <c r="N13" s="374">
        <f t="shared" si="2"/>
        <v>0.44729068244095155</v>
      </c>
      <c r="O13" s="141">
        <f>'Execução Orçamentária'!T104</f>
        <v>871994.08</v>
      </c>
      <c r="P13" s="374">
        <f t="shared" si="3"/>
        <v>0.44729068244095155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132799.54999999999</v>
      </c>
      <c r="I14" s="147">
        <f t="shared" si="4"/>
        <v>100377.45000000001</v>
      </c>
      <c r="J14" s="374">
        <f t="shared" si="0"/>
        <v>0.56952250865222553</v>
      </c>
      <c r="K14" s="141">
        <f>'Execução Orçamentária'!R111</f>
        <v>120624.94</v>
      </c>
      <c r="L14" s="374">
        <f t="shared" si="1"/>
        <v>0.51731062669131178</v>
      </c>
      <c r="M14" s="141">
        <f>'Execução Orçamentária'!S111</f>
        <v>120007.1</v>
      </c>
      <c r="N14" s="374">
        <f t="shared" si="2"/>
        <v>0.51466096570416464</v>
      </c>
      <c r="O14" s="141">
        <f>'Execução Orçamentária'!T111</f>
        <v>119786.76</v>
      </c>
      <c r="P14" s="374">
        <f t="shared" si="3"/>
        <v>0.51371601830369207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9828537.4399999995</v>
      </c>
      <c r="N15" s="374">
        <f t="shared" si="2"/>
        <v>0.55752927067155911</v>
      </c>
      <c r="O15" s="141">
        <f>'Execução Orçamentária'!T118</f>
        <v>9828537.4399999995</v>
      </c>
      <c r="P15" s="374">
        <f t="shared" si="3"/>
        <v>0.55752927067155911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221969.09</v>
      </c>
      <c r="I16" s="147">
        <f t="shared" si="4"/>
        <v>130898.91</v>
      </c>
      <c r="J16" s="374">
        <f t="shared" si="0"/>
        <v>0.62904284321616011</v>
      </c>
      <c r="K16" s="141">
        <f>'Execução Orçamentária'!R29</f>
        <v>221969.09</v>
      </c>
      <c r="L16" s="374">
        <f t="shared" si="1"/>
        <v>0.62904284321616011</v>
      </c>
      <c r="M16" s="141">
        <f>'Execução Orçamentária'!S29</f>
        <v>213482.57</v>
      </c>
      <c r="N16" s="374">
        <f t="shared" si="2"/>
        <v>0.60499271682328803</v>
      </c>
      <c r="O16" s="141">
        <f>'Execução Orçamentária'!T29</f>
        <v>213482.57</v>
      </c>
      <c r="P16" s="374">
        <f t="shared" si="3"/>
        <v>0.60499271682328803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1540818</v>
      </c>
      <c r="E17" s="142">
        <f>'Execução Orçamentária'!L9</f>
        <v>3450818</v>
      </c>
      <c r="F17" s="142">
        <f>'Execução Orçamentária'!M9</f>
        <v>846376</v>
      </c>
      <c r="G17" s="142">
        <f>'Execução Orçamentária'!N9</f>
        <v>2604442</v>
      </c>
      <c r="H17" s="142">
        <f>'Execução Orçamentária'!O9</f>
        <v>2465887.1900000004</v>
      </c>
      <c r="I17" s="147">
        <f t="shared" si="4"/>
        <v>138554.80999999959</v>
      </c>
      <c r="J17" s="374">
        <f t="shared" si="0"/>
        <v>0.94680057762852865</v>
      </c>
      <c r="K17" s="141">
        <f>'Execução Orçamentária'!R9</f>
        <v>2465887.1900000004</v>
      </c>
      <c r="L17" s="374">
        <f t="shared" si="1"/>
        <v>0.94680057762852865</v>
      </c>
      <c r="M17" s="141">
        <f>'Execução Orçamentária'!S9</f>
        <v>2465887.1900000004</v>
      </c>
      <c r="N17" s="374">
        <f t="shared" si="2"/>
        <v>0.94680057762852865</v>
      </c>
      <c r="O17" s="141">
        <f>'Execução Orçamentária'!T9</f>
        <v>2465887.1900000004</v>
      </c>
      <c r="P17" s="374">
        <f t="shared" si="3"/>
        <v>0.94680057762852865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5007453</v>
      </c>
      <c r="E19" s="385">
        <f t="shared" si="5"/>
        <v>393867713</v>
      </c>
      <c r="F19" s="385">
        <f t="shared" si="5"/>
        <v>846376</v>
      </c>
      <c r="G19" s="385">
        <f t="shared" si="5"/>
        <v>393021337</v>
      </c>
      <c r="H19" s="385">
        <f t="shared" si="5"/>
        <v>296944418.98999995</v>
      </c>
      <c r="I19" s="385">
        <f t="shared" si="5"/>
        <v>96076918.01000002</v>
      </c>
      <c r="J19" s="386">
        <f t="shared" si="0"/>
        <v>0.75554274293764345</v>
      </c>
      <c r="K19" s="385">
        <f>SUM(K11:K18)</f>
        <v>295446571.30999994</v>
      </c>
      <c r="L19" s="386">
        <f t="shared" si="1"/>
        <v>0.7517316326009037</v>
      </c>
      <c r="M19" s="385">
        <f>SUM(M11:M18)</f>
        <v>284235957.38999999</v>
      </c>
      <c r="N19" s="386">
        <f t="shared" si="2"/>
        <v>0.72320744608835319</v>
      </c>
      <c r="O19" s="385">
        <f>SUM(O11:O18)</f>
        <v>275945401.13</v>
      </c>
      <c r="P19" s="386">
        <f t="shared" si="3"/>
        <v>0.70211302835703293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44830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9" t="s">
        <v>89</v>
      </c>
      <c r="N6" s="520"/>
      <c r="O6" s="520"/>
      <c r="P6" s="52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36" t="s">
        <v>127</v>
      </c>
      <c r="M7" s="536" t="s">
        <v>94</v>
      </c>
      <c r="N7" s="538" t="s">
        <v>186</v>
      </c>
      <c r="O7" s="536" t="s">
        <v>194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193</v>
      </c>
      <c r="U7" s="541" t="s">
        <v>190</v>
      </c>
      <c r="V7" s="538" t="s">
        <v>61</v>
      </c>
      <c r="W7" s="541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37"/>
      <c r="M8" s="537"/>
      <c r="N8" s="539"/>
      <c r="O8" s="537"/>
      <c r="P8" s="539"/>
      <c r="Q8" s="537"/>
      <c r="R8" s="539"/>
      <c r="S8" s="542"/>
      <c r="T8" s="539"/>
      <c r="U8" s="542"/>
      <c r="V8" s="539"/>
      <c r="W8" s="542"/>
      <c r="X8" s="54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37"/>
      <c r="M9" s="537"/>
      <c r="N9" s="540"/>
      <c r="O9" s="537"/>
      <c r="P9" s="540"/>
      <c r="Q9" s="537"/>
      <c r="R9" s="540"/>
      <c r="S9" s="542"/>
      <c r="T9" s="540"/>
      <c r="U9" s="542"/>
      <c r="V9" s="540"/>
      <c r="W9" s="542"/>
      <c r="X9" s="54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4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730383.95000000007</v>
      </c>
      <c r="Q17" s="92" t="e">
        <f t="shared" ref="Q17:Q22" si="3">+O17-P17</f>
        <v>#REF!</v>
      </c>
      <c r="R17" s="92">
        <f>'Execução Orçamentária'!R393</f>
        <v>671447.54</v>
      </c>
      <c r="S17" s="243" t="e">
        <f t="shared" si="2"/>
        <v>#REF!</v>
      </c>
      <c r="T17" s="92">
        <f>'Execução Orçamentária'!S393</f>
        <v>520084.66000000003</v>
      </c>
      <c r="U17" s="93" t="e">
        <f t="shared" si="0"/>
        <v>#REF!</v>
      </c>
      <c r="V17" s="92">
        <f>'Execução Orçamentária'!T393</f>
        <v>509575.24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2022-09-27T12:04:34Z</dcterms:modified>
</cp:coreProperties>
</file>