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10 - OUT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Zero'!$B$1:$E$99</definedName>
    <definedName name="_xlnm._FilterDatabase" localSheetId="5" hidden="1">'Execução Orçamentária'!$B$8:$O$418</definedName>
    <definedName name="_xlnm.Extract" localSheetId="5">'Execução Orçamentária'!$B$418:$B$418</definedName>
    <definedName name="_xlnm.Print_Area" localSheetId="2">'Base Zero'!$A$5:$P$89</definedName>
    <definedName name="_xlnm.Print_Area" localSheetId="5">'Execução Orçamentária'!$A$394:$U$418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G322" i="3" l="1"/>
  <c r="P98" i="1"/>
  <c r="A98" i="1"/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5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40" i="3" l="1"/>
  <c r="G406" i="3" l="1"/>
  <c r="G407" i="3" l="1"/>
  <c r="G216" i="3"/>
  <c r="G389" i="3" l="1"/>
  <c r="G77" i="3"/>
  <c r="G76" i="3"/>
  <c r="G242" i="3"/>
  <c r="G123" i="3"/>
  <c r="G122" i="3"/>
  <c r="G115" i="3"/>
  <c r="G108" i="3"/>
  <c r="G137" i="3"/>
  <c r="G136" i="3" l="1"/>
  <c r="Q399" i="3" l="1"/>
  <c r="Q398" i="3"/>
  <c r="Q385" i="3"/>
  <c r="Q384" i="3"/>
  <c r="Q383" i="3"/>
  <c r="G392" i="3"/>
  <c r="G391" i="3"/>
  <c r="G390" i="3"/>
  <c r="Q388" i="3"/>
  <c r="Q357" i="3"/>
  <c r="Q356" i="3"/>
  <c r="G378" i="3"/>
  <c r="G377" i="3"/>
  <c r="Q376" i="3"/>
  <c r="G374" i="3"/>
  <c r="G373" i="3"/>
  <c r="Q372" i="3"/>
  <c r="G370" i="3"/>
  <c r="G369" i="3"/>
  <c r="Q368" i="3"/>
  <c r="G366" i="3"/>
  <c r="G365" i="3"/>
  <c r="Q364" i="3"/>
  <c r="G362" i="3"/>
  <c r="G361" i="3"/>
  <c r="Q360" i="3"/>
  <c r="Q331" i="3"/>
  <c r="Q330" i="3"/>
  <c r="G336" i="3"/>
  <c r="G335" i="3"/>
  <c r="Q334" i="3"/>
  <c r="G352" i="3"/>
  <c r="Q351" i="3"/>
  <c r="G349" i="3"/>
  <c r="Q348" i="3"/>
  <c r="G346" i="3"/>
  <c r="Q345" i="3"/>
  <c r="G343" i="3"/>
  <c r="Q342" i="3"/>
  <c r="G339" i="3"/>
  <c r="Q338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80" i="3" l="1"/>
  <c r="Q354" i="3"/>
  <c r="Q328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9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5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2" i="3" l="1"/>
  <c r="Q409" i="3"/>
  <c r="Q402" i="3"/>
  <c r="G404" i="3"/>
  <c r="Q394" i="3" l="1"/>
  <c r="X5" i="27" l="1"/>
  <c r="N5" i="28"/>
  <c r="G416" i="3"/>
  <c r="G413" i="3"/>
  <c r="G410" i="3"/>
  <c r="G403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L322" i="3" l="1"/>
  <c r="H322" i="3"/>
  <c r="I322" i="3"/>
  <c r="N322" i="3"/>
  <c r="O322" i="3"/>
  <c r="T322" i="3"/>
  <c r="S322" i="3"/>
  <c r="R322" i="3"/>
  <c r="O95" i="3"/>
  <c r="R95" i="3"/>
  <c r="T95" i="3"/>
  <c r="S95" i="3"/>
  <c r="L95" i="3"/>
  <c r="I95" i="3"/>
  <c r="H95" i="3"/>
  <c r="N95" i="3"/>
  <c r="N325" i="3"/>
  <c r="I325" i="3"/>
  <c r="L325" i="3"/>
  <c r="H325" i="3"/>
  <c r="S325" i="3"/>
  <c r="T325" i="3"/>
  <c r="R325" i="3"/>
  <c r="O325" i="3"/>
  <c r="S203" i="3"/>
  <c r="R314" i="3"/>
  <c r="T321" i="3"/>
  <c r="T320" i="3" s="1"/>
  <c r="R279" i="3"/>
  <c r="R278" i="3" s="1"/>
  <c r="R318" i="3"/>
  <c r="R203" i="3"/>
  <c r="T318" i="3"/>
  <c r="O314" i="3"/>
  <c r="S321" i="3"/>
  <c r="O279" i="3"/>
  <c r="O278" i="3" s="1"/>
  <c r="T310" i="3"/>
  <c r="O203" i="3"/>
  <c r="S318" i="3"/>
  <c r="R321" i="3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N320" i="3" s="1"/>
  <c r="H314" i="3"/>
  <c r="H310" i="3"/>
  <c r="I321" i="3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40" i="3"/>
  <c r="S340" i="3"/>
  <c r="T340" i="3"/>
  <c r="R406" i="3"/>
  <c r="R396" i="3" s="1"/>
  <c r="T406" i="3"/>
  <c r="T396" i="3" s="1"/>
  <c r="S406" i="3"/>
  <c r="T407" i="3"/>
  <c r="T216" i="3"/>
  <c r="T211" i="3" s="1"/>
  <c r="S407" i="3"/>
  <c r="R407" i="3"/>
  <c r="S216" i="3"/>
  <c r="S211" i="3" s="1"/>
  <c r="R216" i="3"/>
  <c r="R211" i="3" s="1"/>
  <c r="T77" i="3"/>
  <c r="R389" i="3"/>
  <c r="R382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9" i="3"/>
  <c r="S382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9" i="3"/>
  <c r="T382" i="3" s="1"/>
  <c r="R136" i="3"/>
  <c r="S136" i="3"/>
  <c r="T136" i="3"/>
  <c r="R21" i="3"/>
  <c r="S160" i="3"/>
  <c r="S159" i="3" s="1"/>
  <c r="S265" i="3"/>
  <c r="T378" i="3"/>
  <c r="R22" i="3"/>
  <c r="S194" i="3"/>
  <c r="S369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9" i="3"/>
  <c r="T373" i="3"/>
  <c r="R377" i="3"/>
  <c r="S55" i="3"/>
  <c r="S54" i="3" s="1"/>
  <c r="T146" i="3"/>
  <c r="R245" i="3"/>
  <c r="T374" i="3"/>
  <c r="R27" i="3"/>
  <c r="T157" i="3"/>
  <c r="T152" i="3" s="1"/>
  <c r="S246" i="3"/>
  <c r="S343" i="3"/>
  <c r="S342" i="3" s="1"/>
  <c r="T365" i="3"/>
  <c r="T270" i="3"/>
  <c r="T261" i="3" s="1"/>
  <c r="S119" i="3"/>
  <c r="T317" i="3"/>
  <c r="R194" i="3"/>
  <c r="R35" i="3"/>
  <c r="S339" i="3"/>
  <c r="T246" i="3"/>
  <c r="S21" i="3"/>
  <c r="T172" i="3"/>
  <c r="T171" i="3" s="1"/>
  <c r="R265" i="3"/>
  <c r="S378" i="3"/>
  <c r="T49" i="3"/>
  <c r="T48" i="3" s="1"/>
  <c r="T194" i="3"/>
  <c r="R369" i="3"/>
  <c r="S78" i="3"/>
  <c r="R163" i="3"/>
  <c r="R162" i="3" s="1"/>
  <c r="S215" i="3"/>
  <c r="T349" i="3"/>
  <c r="T348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9" i="3"/>
  <c r="S373" i="3"/>
  <c r="T26" i="3"/>
  <c r="R55" i="3"/>
  <c r="R54" i="3" s="1"/>
  <c r="S146" i="3"/>
  <c r="R289" i="3"/>
  <c r="R284" i="3" s="1"/>
  <c r="S374" i="3"/>
  <c r="T27" i="3"/>
  <c r="T169" i="3"/>
  <c r="R246" i="3"/>
  <c r="T343" i="3"/>
  <c r="T342" i="3" s="1"/>
  <c r="T392" i="3"/>
  <c r="T385" i="3" s="1"/>
  <c r="R112" i="3"/>
  <c r="T245" i="3"/>
  <c r="T265" i="3"/>
  <c r="R46" i="3"/>
  <c r="R45" i="3" s="1"/>
  <c r="R222" i="3"/>
  <c r="R221" i="3" s="1"/>
  <c r="R336" i="3"/>
  <c r="T21" i="3"/>
  <c r="S172" i="3"/>
  <c r="S171" i="3" s="1"/>
  <c r="T276" i="3"/>
  <c r="T275" i="3" s="1"/>
  <c r="R378" i="3"/>
  <c r="S49" i="3"/>
  <c r="S48" i="3" s="1"/>
  <c r="R234" i="3"/>
  <c r="T369" i="3"/>
  <c r="T78" i="3"/>
  <c r="S175" i="3"/>
  <c r="S174" i="3" s="1"/>
  <c r="R215" i="3"/>
  <c r="S349" i="3"/>
  <c r="S348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2" i="3"/>
  <c r="R351" i="3" s="1"/>
  <c r="R373" i="3"/>
  <c r="S26" i="3"/>
  <c r="R81" i="3"/>
  <c r="R146" i="3"/>
  <c r="T289" i="3"/>
  <c r="T284" i="3" s="1"/>
  <c r="S391" i="3"/>
  <c r="S384" i="3" s="1"/>
  <c r="S27" i="3"/>
  <c r="S169" i="3"/>
  <c r="S168" i="3" s="1"/>
  <c r="S273" i="3"/>
  <c r="S272" i="3" s="1"/>
  <c r="R343" i="3"/>
  <c r="R342" i="3" s="1"/>
  <c r="R392" i="3"/>
  <c r="R385" i="3" s="1"/>
  <c r="S309" i="3"/>
  <c r="S336" i="3"/>
  <c r="R266" i="3"/>
  <c r="R260" i="3" s="1"/>
  <c r="S17" i="3"/>
  <c r="R119" i="3"/>
  <c r="T63" i="3"/>
  <c r="R172" i="3"/>
  <c r="R276" i="3"/>
  <c r="R275" i="3" s="1"/>
  <c r="T366" i="3"/>
  <c r="R49" i="3"/>
  <c r="R48" i="3" s="1"/>
  <c r="S234" i="3"/>
  <c r="T303" i="3"/>
  <c r="R78" i="3"/>
  <c r="R175" i="3"/>
  <c r="R174" i="3" s="1"/>
  <c r="T237" i="3"/>
  <c r="R349" i="3"/>
  <c r="R348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2" i="3"/>
  <c r="T351" i="3" s="1"/>
  <c r="T390" i="3"/>
  <c r="R26" i="3"/>
  <c r="S81" i="3"/>
  <c r="S72" i="3" s="1"/>
  <c r="T156" i="3"/>
  <c r="S289" i="3"/>
  <c r="S284" i="3" s="1"/>
  <c r="R391" i="3"/>
  <c r="R384" i="3" s="1"/>
  <c r="R147" i="3"/>
  <c r="R142" i="3" s="1"/>
  <c r="R169" i="3"/>
  <c r="R168" i="3" s="1"/>
  <c r="T273" i="3"/>
  <c r="T272" i="3" s="1"/>
  <c r="T335" i="3"/>
  <c r="S392" i="3"/>
  <c r="S385" i="3" s="1"/>
  <c r="T17" i="3"/>
  <c r="R313" i="3"/>
  <c r="S346" i="3"/>
  <c r="S345" i="3" s="1"/>
  <c r="S302" i="3"/>
  <c r="S270" i="3"/>
  <c r="S261" i="3" s="1"/>
  <c r="R374" i="3"/>
  <c r="S63" i="3"/>
  <c r="T193" i="3"/>
  <c r="S276" i="3"/>
  <c r="S275" i="3" s="1"/>
  <c r="S366" i="3"/>
  <c r="R94" i="3"/>
  <c r="R93" i="3" s="1"/>
  <c r="T234" i="3"/>
  <c r="S303" i="3"/>
  <c r="R133" i="3"/>
  <c r="T175" i="3"/>
  <c r="T174" i="3" s="1"/>
  <c r="S237" i="3"/>
  <c r="R370" i="3"/>
  <c r="S52" i="3"/>
  <c r="S51" i="3" s="1"/>
  <c r="S105" i="3"/>
  <c r="T238" i="3"/>
  <c r="R304" i="3"/>
  <c r="T192" i="3"/>
  <c r="T112" i="3"/>
  <c r="R178" i="3"/>
  <c r="R177" i="3" s="1"/>
  <c r="T254" i="3"/>
  <c r="T309" i="3"/>
  <c r="S352" i="3"/>
  <c r="S351" i="3" s="1"/>
  <c r="S390" i="3"/>
  <c r="S43" i="3"/>
  <c r="T81" i="3"/>
  <c r="T72" i="3" s="1"/>
  <c r="S156" i="3"/>
  <c r="T313" i="3"/>
  <c r="T391" i="3"/>
  <c r="T384" i="3" s="1"/>
  <c r="T147" i="3"/>
  <c r="T142" i="3" s="1"/>
  <c r="S181" i="3"/>
  <c r="S180" i="3" s="1"/>
  <c r="R273" i="3"/>
  <c r="R272" i="3" s="1"/>
  <c r="S335" i="3"/>
  <c r="S361" i="3"/>
  <c r="T377" i="3"/>
  <c r="T181" i="3"/>
  <c r="T180" i="3" s="1"/>
  <c r="S22" i="3"/>
  <c r="R361" i="3"/>
  <c r="T55" i="3"/>
  <c r="T54" i="3" s="1"/>
  <c r="R365" i="3"/>
  <c r="R63" i="3"/>
  <c r="S193" i="3"/>
  <c r="R346" i="3"/>
  <c r="R345" i="3" s="1"/>
  <c r="R366" i="3"/>
  <c r="T94" i="3"/>
  <c r="T93" i="3" s="1"/>
  <c r="T266" i="3"/>
  <c r="T260" i="3" s="1"/>
  <c r="R303" i="3"/>
  <c r="T133" i="3"/>
  <c r="T198" i="3"/>
  <c r="R237" i="3"/>
  <c r="T370" i="3"/>
  <c r="T35" i="3"/>
  <c r="R105" i="3"/>
  <c r="S238" i="3"/>
  <c r="T361" i="3"/>
  <c r="S192" i="3"/>
  <c r="S112" i="3"/>
  <c r="T222" i="3"/>
  <c r="T221" i="3" s="1"/>
  <c r="S254" i="3"/>
  <c r="R309" i="3"/>
  <c r="T362" i="3"/>
  <c r="R390" i="3"/>
  <c r="R43" i="3"/>
  <c r="T119" i="3"/>
  <c r="R156" i="3"/>
  <c r="S313" i="3"/>
  <c r="T336" i="3"/>
  <c r="S147" i="3"/>
  <c r="S142" i="3" s="1"/>
  <c r="R181" i="3"/>
  <c r="R180" i="3" s="1"/>
  <c r="R317" i="3"/>
  <c r="R335" i="3"/>
  <c r="R238" i="3"/>
  <c r="T43" i="3"/>
  <c r="S365" i="3"/>
  <c r="R198" i="3"/>
  <c r="R269" i="3"/>
  <c r="S377" i="3"/>
  <c r="S317" i="3"/>
  <c r="R160" i="3"/>
  <c r="R159" i="3" s="1"/>
  <c r="R193" i="3"/>
  <c r="T346" i="3"/>
  <c r="T345" i="3" s="1"/>
  <c r="T22" i="3"/>
  <c r="S94" i="3"/>
  <c r="S93" i="3" s="1"/>
  <c r="S266" i="3"/>
  <c r="S260" i="3" s="1"/>
  <c r="R16" i="3"/>
  <c r="S133" i="3"/>
  <c r="S198" i="3"/>
  <c r="T302" i="3"/>
  <c r="S370" i="3"/>
  <c r="S35" i="3"/>
  <c r="T202" i="3"/>
  <c r="S222" i="3"/>
  <c r="S221" i="3" s="1"/>
  <c r="S362" i="3"/>
  <c r="S157" i="3"/>
  <c r="S152" i="3" s="1"/>
  <c r="T16" i="3"/>
  <c r="S202" i="3"/>
  <c r="R362" i="3"/>
  <c r="R157" i="3"/>
  <c r="R152" i="3" s="1"/>
  <c r="T160" i="3"/>
  <c r="T159" i="3" s="1"/>
  <c r="T163" i="3"/>
  <c r="T162" i="3" s="1"/>
  <c r="R166" i="3"/>
  <c r="R165" i="3" s="1"/>
  <c r="S245" i="3"/>
  <c r="R404" i="3"/>
  <c r="R399" i="3" s="1"/>
  <c r="T404" i="3"/>
  <c r="T399" i="3" s="1"/>
  <c r="S404" i="3"/>
  <c r="S399" i="3" s="1"/>
  <c r="T403" i="3"/>
  <c r="S403" i="3"/>
  <c r="R403" i="3"/>
  <c r="S410" i="3"/>
  <c r="R410" i="3"/>
  <c r="T410" i="3"/>
  <c r="T413" i="3"/>
  <c r="S413" i="3"/>
  <c r="R413" i="3"/>
  <c r="S416" i="3"/>
  <c r="T416" i="3"/>
  <c r="R416" i="3"/>
  <c r="N416" i="3"/>
  <c r="N391" i="3"/>
  <c r="N384" i="3" s="1"/>
  <c r="N369" i="3"/>
  <c r="N343" i="3"/>
  <c r="N342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3" i="3"/>
  <c r="N390" i="3"/>
  <c r="N366" i="3"/>
  <c r="N340" i="3"/>
  <c r="N270" i="3"/>
  <c r="N261" i="3" s="1"/>
  <c r="N105" i="3"/>
  <c r="N410" i="3"/>
  <c r="N389" i="3"/>
  <c r="N382" i="3" s="1"/>
  <c r="N365" i="3"/>
  <c r="N339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6" i="3"/>
  <c r="N345" i="3" s="1"/>
  <c r="N192" i="3"/>
  <c r="N46" i="3"/>
  <c r="N178" i="3"/>
  <c r="N177" i="3" s="1"/>
  <c r="N407" i="3"/>
  <c r="N378" i="3"/>
  <c r="N362" i="3"/>
  <c r="N336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70" i="3"/>
  <c r="N219" i="3"/>
  <c r="N218" i="3" s="1"/>
  <c r="N108" i="3"/>
  <c r="N215" i="3"/>
  <c r="N35" i="3"/>
  <c r="N406" i="3"/>
  <c r="N377" i="3"/>
  <c r="N361" i="3"/>
  <c r="N335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4" i="3"/>
  <c r="N399" i="3" s="1"/>
  <c r="N374" i="3"/>
  <c r="N352" i="3"/>
  <c r="N351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3" i="3"/>
  <c r="N373" i="3"/>
  <c r="N349" i="3"/>
  <c r="N348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2" i="3"/>
  <c r="N385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7" i="3"/>
  <c r="O378" i="3"/>
  <c r="O362" i="3"/>
  <c r="O336" i="3"/>
  <c r="O302" i="3"/>
  <c r="O265" i="3"/>
  <c r="O237" i="3"/>
  <c r="O195" i="3"/>
  <c r="O169" i="3"/>
  <c r="O137" i="3"/>
  <c r="O112" i="3"/>
  <c r="O81" i="3"/>
  <c r="O55" i="3"/>
  <c r="O22" i="3"/>
  <c r="O406" i="3"/>
  <c r="O377" i="3"/>
  <c r="O361" i="3"/>
  <c r="O335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4" i="3"/>
  <c r="O399" i="3" s="1"/>
  <c r="O374" i="3"/>
  <c r="O352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3" i="3"/>
  <c r="O373" i="3"/>
  <c r="O349" i="3"/>
  <c r="O313" i="3"/>
  <c r="O245" i="3"/>
  <c r="O192" i="3"/>
  <c r="O108" i="3"/>
  <c r="O90" i="3"/>
  <c r="O46" i="3"/>
  <c r="O16" i="3"/>
  <c r="O392" i="3"/>
  <c r="O370" i="3"/>
  <c r="O346" i="3"/>
  <c r="O309" i="3"/>
  <c r="O273" i="3"/>
  <c r="O242" i="3"/>
  <c r="O216" i="3"/>
  <c r="O181" i="3"/>
  <c r="O157" i="3"/>
  <c r="O123" i="3"/>
  <c r="O106" i="3"/>
  <c r="O77" i="3"/>
  <c r="O119" i="3"/>
  <c r="O43" i="3"/>
  <c r="O416" i="3"/>
  <c r="O391" i="3"/>
  <c r="O369" i="3"/>
  <c r="O343" i="3"/>
  <c r="O305" i="3"/>
  <c r="O297" i="3" s="1"/>
  <c r="O270" i="3"/>
  <c r="O240" i="3"/>
  <c r="O229" i="3" s="1"/>
  <c r="O215" i="3"/>
  <c r="O178" i="3"/>
  <c r="O156" i="3"/>
  <c r="O122" i="3"/>
  <c r="O105" i="3"/>
  <c r="O76" i="3"/>
  <c r="O339" i="3"/>
  <c r="O198" i="3"/>
  <c r="O35" i="3"/>
  <c r="O413" i="3"/>
  <c r="O390" i="3"/>
  <c r="O366" i="3"/>
  <c r="O340" i="3"/>
  <c r="O304" i="3"/>
  <c r="O269" i="3"/>
  <c r="O239" i="3"/>
  <c r="O202" i="3"/>
  <c r="O175" i="3"/>
  <c r="O147" i="3"/>
  <c r="O120" i="3"/>
  <c r="O94" i="3"/>
  <c r="O27" i="3"/>
  <c r="O410" i="3"/>
  <c r="O389" i="3"/>
  <c r="O365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H297" i="3" s="1"/>
  <c r="L305" i="3"/>
  <c r="L297" i="3" s="1"/>
  <c r="L195" i="3"/>
  <c r="I195" i="3"/>
  <c r="I188" i="3" s="1"/>
  <c r="H195" i="3"/>
  <c r="L240" i="3"/>
  <c r="L229" i="3" s="1"/>
  <c r="I240" i="3"/>
  <c r="I229" i="3" s="1"/>
  <c r="H240" i="3"/>
  <c r="H229" i="3" s="1"/>
  <c r="L340" i="3"/>
  <c r="I340" i="3"/>
  <c r="H340" i="3"/>
  <c r="H406" i="3"/>
  <c r="I406" i="3"/>
  <c r="I396" i="3" s="1"/>
  <c r="L406" i="3"/>
  <c r="S396" i="3"/>
  <c r="I407" i="3"/>
  <c r="H407" i="3"/>
  <c r="L407" i="3"/>
  <c r="I216" i="3"/>
  <c r="I211" i="3" s="1"/>
  <c r="H216" i="3"/>
  <c r="L216" i="3"/>
  <c r="I122" i="3"/>
  <c r="I123" i="3"/>
  <c r="L122" i="3"/>
  <c r="L389" i="3"/>
  <c r="H122" i="3"/>
  <c r="I389" i="3"/>
  <c r="I382" i="3" s="1"/>
  <c r="H123" i="3"/>
  <c r="H389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1" i="3"/>
  <c r="L370" i="3"/>
  <c r="H377" i="3"/>
  <c r="L361" i="3"/>
  <c r="H352" i="3"/>
  <c r="L335" i="3"/>
  <c r="H339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9" i="3"/>
  <c r="L362" i="3"/>
  <c r="I349" i="3"/>
  <c r="I348" i="3" s="1"/>
  <c r="L303" i="3"/>
  <c r="L289" i="3"/>
  <c r="L273" i="3"/>
  <c r="I246" i="3"/>
  <c r="H166" i="3"/>
  <c r="I49" i="3"/>
  <c r="I48" i="3" s="1"/>
  <c r="I27" i="3"/>
  <c r="L246" i="3"/>
  <c r="I369" i="3"/>
  <c r="L343" i="3"/>
  <c r="L276" i="3"/>
  <c r="H157" i="3"/>
  <c r="I46" i="3"/>
  <c r="I45" i="3" s="1"/>
  <c r="L27" i="3"/>
  <c r="H22" i="3"/>
  <c r="L94" i="3"/>
  <c r="L93" i="3" s="1"/>
  <c r="H254" i="3"/>
  <c r="H273" i="3"/>
  <c r="H390" i="3"/>
  <c r="H366" i="3"/>
  <c r="L378" i="3"/>
  <c r="H362" i="3"/>
  <c r="H370" i="3"/>
  <c r="L352" i="3"/>
  <c r="I352" i="3"/>
  <c r="I351" i="3" s="1"/>
  <c r="L336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90" i="3"/>
  <c r="I377" i="3"/>
  <c r="I335" i="3"/>
  <c r="H302" i="3"/>
  <c r="H234" i="3"/>
  <c r="L166" i="3"/>
  <c r="L105" i="3"/>
  <c r="L21" i="3"/>
  <c r="L265" i="3"/>
  <c r="H276" i="3"/>
  <c r="H288" i="3"/>
  <c r="H317" i="3"/>
  <c r="L366" i="3"/>
  <c r="H373" i="3"/>
  <c r="L377" i="3"/>
  <c r="I362" i="3"/>
  <c r="H374" i="3"/>
  <c r="L339" i="3"/>
  <c r="H346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3" i="3"/>
  <c r="H342" i="3" s="1"/>
  <c r="H392" i="3"/>
  <c r="H378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2" i="3"/>
  <c r="I392" i="3"/>
  <c r="I385" i="3" s="1"/>
  <c r="I370" i="3"/>
  <c r="I336" i="3"/>
  <c r="I239" i="3"/>
  <c r="L194" i="3"/>
  <c r="L172" i="3"/>
  <c r="L79" i="3"/>
  <c r="H52" i="3"/>
  <c r="L175" i="3"/>
  <c r="L302" i="3"/>
  <c r="L146" i="3"/>
  <c r="L178" i="3"/>
  <c r="L390" i="3"/>
  <c r="H391" i="3"/>
  <c r="L373" i="3"/>
  <c r="H361" i="3"/>
  <c r="I374" i="3"/>
  <c r="L346" i="3"/>
  <c r="I339" i="3"/>
  <c r="H336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3" i="3"/>
  <c r="L349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4" i="3"/>
  <c r="L365" i="3"/>
  <c r="H365" i="3"/>
  <c r="I361" i="3"/>
  <c r="I378" i="3"/>
  <c r="H349" i="3"/>
  <c r="I346" i="3"/>
  <c r="I345" i="3" s="1"/>
  <c r="H335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1" i="3"/>
  <c r="I384" i="3" s="1"/>
  <c r="L369" i="3"/>
  <c r="I366" i="3"/>
  <c r="I343" i="3"/>
  <c r="H289" i="3"/>
  <c r="H270" i="3"/>
  <c r="H239" i="3"/>
  <c r="H215" i="3"/>
  <c r="H193" i="3"/>
  <c r="L163" i="3"/>
  <c r="I178" i="3"/>
  <c r="I177" i="3" s="1"/>
  <c r="H133" i="3"/>
  <c r="H55" i="3"/>
  <c r="I365" i="3"/>
  <c r="I302" i="3"/>
  <c r="H169" i="3"/>
  <c r="H43" i="3"/>
  <c r="H16" i="3"/>
  <c r="T168" i="3"/>
  <c r="T70" i="3"/>
  <c r="R171" i="3"/>
  <c r="R72" i="3"/>
  <c r="L404" i="3"/>
  <c r="L399" i="3" s="1"/>
  <c r="H404" i="3"/>
  <c r="H399" i="3" s="1"/>
  <c r="I404" i="3"/>
  <c r="I399" i="3" s="1"/>
  <c r="P15" i="27"/>
  <c r="P14" i="27"/>
  <c r="P18" i="27"/>
  <c r="L403" i="3"/>
  <c r="L410" i="3"/>
  <c r="L413" i="3"/>
  <c r="L416" i="3"/>
  <c r="H416" i="3"/>
  <c r="H415" i="3" s="1"/>
  <c r="I416" i="3"/>
  <c r="I413" i="3"/>
  <c r="I403" i="3"/>
  <c r="H410" i="3"/>
  <c r="H409" i="3" s="1"/>
  <c r="H413" i="3"/>
  <c r="H412" i="3" s="1"/>
  <c r="H403" i="3"/>
  <c r="I410" i="3"/>
  <c r="P322" i="3" l="1"/>
  <c r="I320" i="3"/>
  <c r="H320" i="3"/>
  <c r="J322" i="3"/>
  <c r="L320" i="3"/>
  <c r="K322" i="3"/>
  <c r="M322" i="3"/>
  <c r="S320" i="3"/>
  <c r="R320" i="3"/>
  <c r="J95" i="3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4" i="3"/>
  <c r="H296" i="3"/>
  <c r="J325" i="3"/>
  <c r="K325" i="3" s="1"/>
  <c r="L296" i="3"/>
  <c r="L324" i="3"/>
  <c r="M325" i="3"/>
  <c r="I324" i="3"/>
  <c r="I296" i="3"/>
  <c r="N324" i="3"/>
  <c r="N296" i="3"/>
  <c r="O324" i="3"/>
  <c r="P325" i="3"/>
  <c r="O296" i="3"/>
  <c r="R324" i="3"/>
  <c r="R296" i="3"/>
  <c r="T324" i="3"/>
  <c r="T296" i="3"/>
  <c r="S324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U320" i="3"/>
  <c r="P321" i="3"/>
  <c r="P320" i="3" s="1"/>
  <c r="I186" i="3"/>
  <c r="N205" i="3"/>
  <c r="U205" i="3" s="1"/>
  <c r="P206" i="3"/>
  <c r="P205" i="3" s="1"/>
  <c r="J321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8" i="3"/>
  <c r="L331" i="3"/>
  <c r="I301" i="3"/>
  <c r="S104" i="3"/>
  <c r="M13" i="19" s="1"/>
  <c r="T89" i="3"/>
  <c r="S89" i="3"/>
  <c r="I372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7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6" i="3"/>
  <c r="M406" i="3"/>
  <c r="M396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1" i="3"/>
  <c r="I228" i="3"/>
  <c r="H214" i="3"/>
  <c r="T338" i="3"/>
  <c r="T331" i="3"/>
  <c r="H188" i="3"/>
  <c r="J195" i="3"/>
  <c r="J188" i="3" s="1"/>
  <c r="L188" i="3"/>
  <c r="M195" i="3"/>
  <c r="M188" i="3" s="1"/>
  <c r="M305" i="3"/>
  <c r="M297" i="3" s="1"/>
  <c r="J305" i="3"/>
  <c r="J297" i="3" s="1"/>
  <c r="O331" i="3"/>
  <c r="O188" i="3"/>
  <c r="P195" i="3"/>
  <c r="P188" i="3" s="1"/>
  <c r="P305" i="3"/>
  <c r="P297" i="3" s="1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8" i="3"/>
  <c r="L236" i="3"/>
  <c r="R236" i="3"/>
  <c r="N236" i="3"/>
  <c r="T236" i="3"/>
  <c r="O236" i="3"/>
  <c r="H331" i="3"/>
  <c r="I236" i="3"/>
  <c r="M240" i="3"/>
  <c r="M229" i="3" s="1"/>
  <c r="L405" i="3"/>
  <c r="H236" i="3"/>
  <c r="N331" i="3"/>
  <c r="R331" i="3"/>
  <c r="H338" i="3"/>
  <c r="I331" i="3"/>
  <c r="J340" i="3"/>
  <c r="K340" i="3" s="1"/>
  <c r="I338" i="3"/>
  <c r="H405" i="3"/>
  <c r="S338" i="3"/>
  <c r="P340" i="3"/>
  <c r="S405" i="3"/>
  <c r="O338" i="3"/>
  <c r="R338" i="3"/>
  <c r="M340" i="3"/>
  <c r="T405" i="3"/>
  <c r="N405" i="3"/>
  <c r="I405" i="3"/>
  <c r="R405" i="3"/>
  <c r="L396" i="3"/>
  <c r="H396" i="3"/>
  <c r="J406" i="3"/>
  <c r="J396" i="3" s="1"/>
  <c r="O405" i="3"/>
  <c r="O396" i="3"/>
  <c r="P406" i="3"/>
  <c r="P396" i="3" s="1"/>
  <c r="L127" i="3"/>
  <c r="H11" i="3"/>
  <c r="H135" i="3"/>
  <c r="I135" i="3"/>
  <c r="N214" i="3"/>
  <c r="L135" i="3"/>
  <c r="J407" i="3"/>
  <c r="K407" i="3" s="1"/>
  <c r="O214" i="3"/>
  <c r="P407" i="3"/>
  <c r="T67" i="3"/>
  <c r="J123" i="3"/>
  <c r="K123" i="3" s="1"/>
  <c r="S214" i="3"/>
  <c r="O127" i="3"/>
  <c r="M374" i="3"/>
  <c r="N368" i="3"/>
  <c r="O135" i="3"/>
  <c r="I11" i="3"/>
  <c r="J80" i="3"/>
  <c r="K80" i="3" s="1"/>
  <c r="I244" i="3"/>
  <c r="T135" i="3"/>
  <c r="T68" i="3"/>
  <c r="I110" i="3"/>
  <c r="P123" i="3"/>
  <c r="S135" i="3"/>
  <c r="T214" i="3"/>
  <c r="L388" i="3"/>
  <c r="R121" i="3"/>
  <c r="T121" i="3"/>
  <c r="N101" i="3"/>
  <c r="N107" i="3"/>
  <c r="L129" i="3"/>
  <c r="M137" i="3"/>
  <c r="M129" i="3" s="1"/>
  <c r="L382" i="3"/>
  <c r="M389" i="3"/>
  <c r="M382" i="3" s="1"/>
  <c r="L67" i="3"/>
  <c r="M76" i="3"/>
  <c r="M67" i="3" s="1"/>
  <c r="L121" i="3"/>
  <c r="M122" i="3"/>
  <c r="H397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7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2" i="3"/>
  <c r="J389" i="3"/>
  <c r="J382" i="3" s="1"/>
  <c r="I397" i="3"/>
  <c r="J122" i="3"/>
  <c r="H121" i="3"/>
  <c r="I230" i="3"/>
  <c r="I241" i="3"/>
  <c r="L68" i="3"/>
  <c r="M77" i="3"/>
  <c r="M68" i="3" s="1"/>
  <c r="I121" i="3"/>
  <c r="I117" i="3" s="1"/>
  <c r="L397" i="3"/>
  <c r="J76" i="3"/>
  <c r="J67" i="3" s="1"/>
  <c r="H67" i="3"/>
  <c r="L114" i="3"/>
  <c r="M115" i="3"/>
  <c r="M114" i="3" s="1"/>
  <c r="I107" i="3"/>
  <c r="I101" i="3"/>
  <c r="R214" i="3"/>
  <c r="R107" i="3"/>
  <c r="R101" i="3"/>
  <c r="O382" i="3"/>
  <c r="P389" i="3"/>
  <c r="P382" i="3" s="1"/>
  <c r="O397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7" i="3"/>
  <c r="S107" i="3"/>
  <c r="S101" i="3"/>
  <c r="S397" i="3"/>
  <c r="O68" i="3"/>
  <c r="P77" i="3"/>
  <c r="P68" i="3" s="1"/>
  <c r="O101" i="3"/>
  <c r="P108" i="3"/>
  <c r="O107" i="3"/>
  <c r="S241" i="3"/>
  <c r="S230" i="3"/>
  <c r="T397" i="3"/>
  <c r="O12" i="3"/>
  <c r="N388" i="3"/>
  <c r="H388" i="3"/>
  <c r="L12" i="3"/>
  <c r="L11" i="3"/>
  <c r="O388" i="3"/>
  <c r="I388" i="3"/>
  <c r="H12" i="3"/>
  <c r="R388" i="3"/>
  <c r="I12" i="3"/>
  <c r="T11" i="3"/>
  <c r="T12" i="3"/>
  <c r="R12" i="3"/>
  <c r="R11" i="3"/>
  <c r="O11" i="3"/>
  <c r="S11" i="3"/>
  <c r="S12" i="3"/>
  <c r="N11" i="3"/>
  <c r="N12" i="3"/>
  <c r="O99" i="3"/>
  <c r="T388" i="3"/>
  <c r="S388" i="3"/>
  <c r="U275" i="3"/>
  <c r="P378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4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2" i="3"/>
  <c r="P366" i="3"/>
  <c r="U177" i="3"/>
  <c r="J246" i="3"/>
  <c r="K246" i="3" s="1"/>
  <c r="U171" i="3"/>
  <c r="I268" i="3"/>
  <c r="U168" i="3"/>
  <c r="U180" i="3"/>
  <c r="U162" i="3"/>
  <c r="P369" i="3"/>
  <c r="N357" i="3"/>
  <c r="U348" i="3"/>
  <c r="U342" i="3"/>
  <c r="U159" i="3"/>
  <c r="U345" i="3"/>
  <c r="U272" i="3"/>
  <c r="T244" i="3"/>
  <c r="U351" i="3"/>
  <c r="U218" i="3"/>
  <c r="I20" i="3"/>
  <c r="J370" i="3"/>
  <c r="K370" i="3" s="1"/>
  <c r="J78" i="3"/>
  <c r="S376" i="3"/>
  <c r="P78" i="3"/>
  <c r="P245" i="3"/>
  <c r="P237" i="3"/>
  <c r="P254" i="3"/>
  <c r="P234" i="3"/>
  <c r="N372" i="3"/>
  <c r="M238" i="3"/>
  <c r="P238" i="3"/>
  <c r="P27" i="3"/>
  <c r="N221" i="3"/>
  <c r="U221" i="3" s="1"/>
  <c r="P222" i="3"/>
  <c r="P221" i="3" s="1"/>
  <c r="P239" i="3"/>
  <c r="N25" i="3"/>
  <c r="J374" i="3"/>
  <c r="K374" i="3" s="1"/>
  <c r="N268" i="3"/>
  <c r="M370" i="3"/>
  <c r="M169" i="3"/>
  <c r="M168" i="3" s="1"/>
  <c r="L168" i="3"/>
  <c r="H171" i="3"/>
  <c r="J172" i="3"/>
  <c r="J171" i="3" s="1"/>
  <c r="L383" i="3"/>
  <c r="M390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2" i="3"/>
  <c r="L357" i="3"/>
  <c r="N34" i="3"/>
  <c r="N31" i="3"/>
  <c r="N29" i="3" s="1"/>
  <c r="G16" i="19" s="1"/>
  <c r="J339" i="3"/>
  <c r="P373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6" i="3"/>
  <c r="I360" i="3"/>
  <c r="L71" i="3"/>
  <c r="L141" i="3"/>
  <c r="M146" i="3"/>
  <c r="L145" i="3"/>
  <c r="N334" i="3"/>
  <c r="N330" i="3"/>
  <c r="I145" i="3"/>
  <c r="I141" i="3"/>
  <c r="I139" i="3" s="1"/>
  <c r="N364" i="3"/>
  <c r="M265" i="3"/>
  <c r="L264" i="3"/>
  <c r="I383" i="3"/>
  <c r="I380" i="3" s="1"/>
  <c r="L244" i="3"/>
  <c r="M245" i="3"/>
  <c r="J17" i="3"/>
  <c r="H118" i="3"/>
  <c r="J119" i="3"/>
  <c r="J118" i="3" s="1"/>
  <c r="H185" i="3"/>
  <c r="J192" i="3"/>
  <c r="H357" i="3"/>
  <c r="J362" i="3"/>
  <c r="K362" i="3" s="1"/>
  <c r="L342" i="3"/>
  <c r="M343" i="3"/>
  <c r="M342" i="3" s="1"/>
  <c r="H165" i="3"/>
  <c r="J166" i="3"/>
  <c r="J165" i="3" s="1"/>
  <c r="H368" i="3"/>
  <c r="J369" i="3"/>
  <c r="I250" i="3"/>
  <c r="I248" i="3" s="1"/>
  <c r="I253" i="3"/>
  <c r="L334" i="3"/>
  <c r="L330" i="3"/>
  <c r="M335" i="3"/>
  <c r="L384" i="3"/>
  <c r="M391" i="3"/>
  <c r="M384" i="3" s="1"/>
  <c r="N185" i="3"/>
  <c r="L54" i="3"/>
  <c r="M55" i="3"/>
  <c r="M54" i="3" s="1"/>
  <c r="M349" i="3"/>
  <c r="M348" i="3" s="1"/>
  <c r="L348" i="3"/>
  <c r="M194" i="3"/>
  <c r="H272" i="3"/>
  <c r="J273" i="3"/>
  <c r="J272" i="3" s="1"/>
  <c r="M80" i="3"/>
  <c r="M71" i="3" s="1"/>
  <c r="N71" i="3"/>
  <c r="L45" i="3"/>
  <c r="H70" i="3"/>
  <c r="J202" i="3"/>
  <c r="J309" i="3"/>
  <c r="J365" i="3"/>
  <c r="H364" i="3"/>
  <c r="M198" i="3"/>
  <c r="N42" i="3"/>
  <c r="N39" i="3"/>
  <c r="N37" i="3" s="1"/>
  <c r="G11" i="26" s="1"/>
  <c r="I233" i="3"/>
  <c r="I227" i="3"/>
  <c r="N360" i="3"/>
  <c r="N356" i="3"/>
  <c r="I85" i="3"/>
  <c r="I83" i="3" s="1"/>
  <c r="I283" i="3"/>
  <c r="I281" i="3" s="1"/>
  <c r="I287" i="3"/>
  <c r="J361" i="3"/>
  <c r="K361" i="3" s="1"/>
  <c r="H360" i="3"/>
  <c r="H356" i="3"/>
  <c r="M302" i="3"/>
  <c r="L293" i="3"/>
  <c r="L142" i="3"/>
  <c r="M147" i="3"/>
  <c r="M142" i="3" s="1"/>
  <c r="J378" i="3"/>
  <c r="K378" i="3" s="1"/>
  <c r="M215" i="3"/>
  <c r="L210" i="3"/>
  <c r="M309" i="3"/>
  <c r="L376" i="3"/>
  <c r="M377" i="3"/>
  <c r="M21" i="3"/>
  <c r="L20" i="3"/>
  <c r="H48" i="3"/>
  <c r="J49" i="3"/>
  <c r="J48" i="3" s="1"/>
  <c r="H145" i="3"/>
  <c r="H141" i="3"/>
  <c r="J146" i="3"/>
  <c r="H218" i="3"/>
  <c r="J219" i="3"/>
  <c r="J218" i="3" s="1"/>
  <c r="M378" i="3"/>
  <c r="I368" i="3"/>
  <c r="M202" i="3"/>
  <c r="H264" i="3"/>
  <c r="J265" i="3"/>
  <c r="N264" i="3"/>
  <c r="L155" i="3"/>
  <c r="L151" i="3"/>
  <c r="M156" i="3"/>
  <c r="H260" i="3"/>
  <c r="J266" i="3"/>
  <c r="J260" i="3" s="1"/>
  <c r="I330" i="3"/>
  <c r="I334" i="3"/>
  <c r="M352" i="3"/>
  <c r="M351" i="3" s="1"/>
  <c r="L351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4" i="3"/>
  <c r="M365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2" i="3"/>
  <c r="J373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1" i="3"/>
  <c r="J352" i="3"/>
  <c r="N85" i="3"/>
  <c r="H15" i="3"/>
  <c r="J16" i="3"/>
  <c r="K16" i="3" s="1"/>
  <c r="H72" i="3"/>
  <c r="J194" i="3"/>
  <c r="H42" i="3"/>
  <c r="J43" i="3"/>
  <c r="H39" i="3"/>
  <c r="H37" i="3" s="1"/>
  <c r="L345" i="3"/>
  <c r="M346" i="3"/>
  <c r="M345" i="3" s="1"/>
  <c r="L177" i="3"/>
  <c r="M178" i="3"/>
  <c r="M177" i="3" s="1"/>
  <c r="I357" i="3"/>
  <c r="H253" i="3"/>
  <c r="H250" i="3"/>
  <c r="H248" i="3" s="1"/>
  <c r="J254" i="3"/>
  <c r="K254" i="3" s="1"/>
  <c r="J343" i="3"/>
  <c r="J342" i="3" s="1"/>
  <c r="I342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3" i="3"/>
  <c r="L372" i="3"/>
  <c r="H51" i="3"/>
  <c r="J52" i="3"/>
  <c r="H155" i="3"/>
  <c r="J156" i="3"/>
  <c r="H151" i="3"/>
  <c r="H385" i="3"/>
  <c r="J392" i="3"/>
  <c r="J385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6" i="3"/>
  <c r="K366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6" i="3"/>
  <c r="M361" i="3"/>
  <c r="L360" i="3"/>
  <c r="L118" i="3"/>
  <c r="M119" i="3"/>
  <c r="M118" i="3" s="1"/>
  <c r="M234" i="3"/>
  <c r="L233" i="3"/>
  <c r="L227" i="3"/>
  <c r="J335" i="3"/>
  <c r="K335" i="3" s="1"/>
  <c r="H330" i="3"/>
  <c r="H334" i="3"/>
  <c r="N383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5" i="3"/>
  <c r="M392" i="3"/>
  <c r="M385" i="3" s="1"/>
  <c r="M192" i="3"/>
  <c r="L185" i="3"/>
  <c r="H159" i="3"/>
  <c r="J160" i="3"/>
  <c r="J159" i="3" s="1"/>
  <c r="N253" i="3"/>
  <c r="N250" i="3"/>
  <c r="N248" i="3" s="1"/>
  <c r="G18" i="26" s="1"/>
  <c r="J346" i="3"/>
  <c r="H345" i="3"/>
  <c r="M366" i="3"/>
  <c r="H233" i="3"/>
  <c r="H227" i="3"/>
  <c r="J234" i="3"/>
  <c r="K234" i="3" s="1"/>
  <c r="I104" i="3"/>
  <c r="N376" i="3"/>
  <c r="H71" i="3"/>
  <c r="I155" i="3"/>
  <c r="I151" i="3"/>
  <c r="I149" i="3" s="1"/>
  <c r="J237" i="3"/>
  <c r="H226" i="3"/>
  <c r="M336" i="3"/>
  <c r="J390" i="3"/>
  <c r="H383" i="3"/>
  <c r="J157" i="3"/>
  <c r="J152" i="3" s="1"/>
  <c r="H152" i="3"/>
  <c r="L284" i="3"/>
  <c r="M289" i="3"/>
  <c r="M284" i="3" s="1"/>
  <c r="I210" i="3"/>
  <c r="I208" i="3" s="1"/>
  <c r="M317" i="3"/>
  <c r="H25" i="3"/>
  <c r="M369" i="3"/>
  <c r="L368" i="3"/>
  <c r="H348" i="3"/>
  <c r="J349" i="3"/>
  <c r="J348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6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6" i="3"/>
  <c r="H384" i="3"/>
  <c r="J391" i="3"/>
  <c r="J384" i="3" s="1"/>
  <c r="L171" i="3"/>
  <c r="M172" i="3"/>
  <c r="M171" i="3" s="1"/>
  <c r="M133" i="3"/>
  <c r="M237" i="3"/>
  <c r="L226" i="3"/>
  <c r="N15" i="3"/>
  <c r="J94" i="3"/>
  <c r="J93" i="3" s="1"/>
  <c r="M339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7" i="3"/>
  <c r="H376" i="3"/>
  <c r="L221" i="3"/>
  <c r="M222" i="3"/>
  <c r="M221" i="3" s="1"/>
  <c r="S25" i="3"/>
  <c r="R25" i="3"/>
  <c r="R20" i="3"/>
  <c r="R368" i="3"/>
  <c r="R376" i="3"/>
  <c r="T364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7" i="3"/>
  <c r="O376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6" i="3"/>
  <c r="S283" i="3"/>
  <c r="S281" i="3" s="1"/>
  <c r="M20" i="26" s="1"/>
  <c r="S287" i="3"/>
  <c r="T62" i="3"/>
  <c r="T59" i="3"/>
  <c r="T57" i="3" s="1"/>
  <c r="O18" i="19" s="1"/>
  <c r="O348" i="3"/>
  <c r="P349" i="3"/>
  <c r="P348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7" i="3"/>
  <c r="O155" i="3"/>
  <c r="O151" i="3"/>
  <c r="P156" i="3"/>
  <c r="O244" i="3"/>
  <c r="O51" i="3"/>
  <c r="P52" i="3"/>
  <c r="P51" i="3" s="1"/>
  <c r="P246" i="3"/>
  <c r="O372" i="3"/>
  <c r="P374" i="3"/>
  <c r="O45" i="3"/>
  <c r="P46" i="3"/>
  <c r="P45" i="3" s="1"/>
  <c r="O152" i="3"/>
  <c r="P157" i="3"/>
  <c r="P152" i="3" s="1"/>
  <c r="O261" i="3"/>
  <c r="P270" i="3"/>
  <c r="P261" i="3" s="1"/>
  <c r="O368" i="3"/>
  <c r="P370" i="3"/>
  <c r="O345" i="3"/>
  <c r="P346" i="3"/>
  <c r="P345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30" i="3"/>
  <c r="R334" i="3"/>
  <c r="O165" i="3"/>
  <c r="P166" i="3"/>
  <c r="P165" i="3" s="1"/>
  <c r="R268" i="3"/>
  <c r="P361" i="3"/>
  <c r="O360" i="3"/>
  <c r="O356" i="3"/>
  <c r="R383" i="3"/>
  <c r="R380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60" i="3"/>
  <c r="R356" i="3"/>
  <c r="S268" i="3"/>
  <c r="T268" i="3"/>
  <c r="R364" i="3"/>
  <c r="P365" i="3"/>
  <c r="O364" i="3"/>
  <c r="O293" i="3"/>
  <c r="P302" i="3"/>
  <c r="T334" i="3"/>
  <c r="T330" i="3"/>
  <c r="S383" i="3"/>
  <c r="S380" i="3" s="1"/>
  <c r="M24" i="26" s="1"/>
  <c r="S330" i="3"/>
  <c r="S334" i="3"/>
  <c r="S185" i="3"/>
  <c r="T293" i="3"/>
  <c r="T356" i="3"/>
  <c r="T360" i="3"/>
  <c r="O168" i="3"/>
  <c r="P169" i="3"/>
  <c r="P168" i="3" s="1"/>
  <c r="O253" i="3"/>
  <c r="O250" i="3"/>
  <c r="O248" i="3" s="1"/>
  <c r="H18" i="26" s="1"/>
  <c r="R85" i="3"/>
  <c r="R83" i="3" s="1"/>
  <c r="K12" i="19" s="1"/>
  <c r="T368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4" i="3"/>
  <c r="R62" i="3"/>
  <c r="R59" i="3"/>
  <c r="R57" i="3" s="1"/>
  <c r="K18" i="19" s="1"/>
  <c r="P198" i="3"/>
  <c r="S372" i="3"/>
  <c r="O70" i="3"/>
  <c r="P79" i="3"/>
  <c r="P70" i="3" s="1"/>
  <c r="R210" i="3"/>
  <c r="R208" i="3" s="1"/>
  <c r="K16" i="26" s="1"/>
  <c r="O383" i="3"/>
  <c r="P390" i="3"/>
  <c r="O171" i="3"/>
  <c r="P172" i="3"/>
  <c r="P171" i="3" s="1"/>
  <c r="R15" i="3"/>
  <c r="S226" i="3"/>
  <c r="P339" i="3"/>
  <c r="O357" i="3"/>
  <c r="P362" i="3"/>
  <c r="S264" i="3"/>
  <c r="O275" i="3"/>
  <c r="P276" i="3"/>
  <c r="P275" i="3" s="1"/>
  <c r="O59" i="3"/>
  <c r="O57" i="3" s="1"/>
  <c r="H18" i="19" s="1"/>
  <c r="O62" i="3"/>
  <c r="P63" i="3"/>
  <c r="T69" i="3"/>
  <c r="S356" i="3"/>
  <c r="S360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6" i="3"/>
  <c r="O72" i="3"/>
  <c r="P81" i="3"/>
  <c r="P72" i="3" s="1"/>
  <c r="O218" i="3"/>
  <c r="P219" i="3"/>
  <c r="P218" i="3" s="1"/>
  <c r="P313" i="3"/>
  <c r="S368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7" i="3"/>
  <c r="S15" i="3"/>
  <c r="S69" i="3"/>
  <c r="O48" i="3"/>
  <c r="P49" i="3"/>
  <c r="P48" i="3" s="1"/>
  <c r="R145" i="3"/>
  <c r="R141" i="3"/>
  <c r="R139" i="3" s="1"/>
  <c r="K13" i="26" s="1"/>
  <c r="O342" i="3"/>
  <c r="P343" i="3"/>
  <c r="P342" i="3" s="1"/>
  <c r="R39" i="3"/>
  <c r="R37" i="3" s="1"/>
  <c r="K11" i="26" s="1"/>
  <c r="R42" i="3"/>
  <c r="R151" i="3"/>
  <c r="R149" i="3" s="1"/>
  <c r="K14" i="26" s="1"/>
  <c r="R155" i="3"/>
  <c r="R264" i="3"/>
  <c r="R372" i="3"/>
  <c r="R31" i="3"/>
  <c r="R29" i="3" s="1"/>
  <c r="K16" i="19" s="1"/>
  <c r="R34" i="3"/>
  <c r="R287" i="3"/>
  <c r="R283" i="3"/>
  <c r="R281" i="3" s="1"/>
  <c r="K20" i="26" s="1"/>
  <c r="P265" i="3"/>
  <c r="O264" i="3"/>
  <c r="O351" i="3"/>
  <c r="P352" i="3"/>
  <c r="P351" i="3" s="1"/>
  <c r="T383" i="3"/>
  <c r="T380" i="3" s="1"/>
  <c r="O24" i="26" s="1"/>
  <c r="O15" i="3"/>
  <c r="P16" i="3"/>
  <c r="O287" i="3"/>
  <c r="P288" i="3"/>
  <c r="O283" i="3"/>
  <c r="S357" i="3"/>
  <c r="O174" i="3"/>
  <c r="P175" i="3"/>
  <c r="P174" i="3" s="1"/>
  <c r="S293" i="3"/>
  <c r="T185" i="3"/>
  <c r="O330" i="3"/>
  <c r="O334" i="3"/>
  <c r="P335" i="3"/>
  <c r="O260" i="3"/>
  <c r="P266" i="3"/>
  <c r="P260" i="3" s="1"/>
  <c r="P215" i="3"/>
  <c r="O210" i="3"/>
  <c r="P391" i="3"/>
  <c r="P384" i="3" s="1"/>
  <c r="O384" i="3"/>
  <c r="T155" i="3"/>
  <c r="T151" i="3"/>
  <c r="T149" i="3" s="1"/>
  <c r="O14" i="26" s="1"/>
  <c r="T210" i="3"/>
  <c r="T208" i="3" s="1"/>
  <c r="O16" i="26" s="1"/>
  <c r="P309" i="3"/>
  <c r="O385" i="3"/>
  <c r="P392" i="3"/>
  <c r="P385" i="3" s="1"/>
  <c r="O42" i="3"/>
  <c r="P43" i="3"/>
  <c r="O39" i="3"/>
  <c r="O37" i="3" s="1"/>
  <c r="H11" i="26" s="1"/>
  <c r="T398" i="3"/>
  <c r="I398" i="3"/>
  <c r="L398" i="3"/>
  <c r="S398" i="3"/>
  <c r="H398" i="3"/>
  <c r="H402" i="3"/>
  <c r="N398" i="3"/>
  <c r="O398" i="3"/>
  <c r="R398" i="3"/>
  <c r="T20" i="28"/>
  <c r="R16" i="28"/>
  <c r="V16" i="28"/>
  <c r="T16" i="28"/>
  <c r="V20" i="28"/>
  <c r="V11" i="27"/>
  <c r="P11" i="27"/>
  <c r="T11" i="27"/>
  <c r="S412" i="3"/>
  <c r="T16" i="27"/>
  <c r="R16" i="27"/>
  <c r="V12" i="28"/>
  <c r="R13" i="28"/>
  <c r="R12" i="28"/>
  <c r="V13" i="28"/>
  <c r="S415" i="3"/>
  <c r="T409" i="3"/>
  <c r="R15" i="27"/>
  <c r="V14" i="27"/>
  <c r="T412" i="3"/>
  <c r="O412" i="3"/>
  <c r="R412" i="3"/>
  <c r="R13" i="27"/>
  <c r="L412" i="3"/>
  <c r="R415" i="3"/>
  <c r="I412" i="3"/>
  <c r="L415" i="3"/>
  <c r="T415" i="3"/>
  <c r="I415" i="3"/>
  <c r="N415" i="3"/>
  <c r="O415" i="3"/>
  <c r="L409" i="3"/>
  <c r="O409" i="3"/>
  <c r="N412" i="3"/>
  <c r="P404" i="3"/>
  <c r="P399" i="3" s="1"/>
  <c r="J404" i="3"/>
  <c r="J399" i="3" s="1"/>
  <c r="M404" i="3"/>
  <c r="M399" i="3" s="1"/>
  <c r="R409" i="3"/>
  <c r="S409" i="3"/>
  <c r="N409" i="3"/>
  <c r="I409" i="3"/>
  <c r="R14" i="27"/>
  <c r="R20" i="28"/>
  <c r="V13" i="27"/>
  <c r="T13" i="28"/>
  <c r="T12" i="28"/>
  <c r="T402" i="3"/>
  <c r="S402" i="3"/>
  <c r="V16" i="27"/>
  <c r="O402" i="3"/>
  <c r="R11" i="27"/>
  <c r="R402" i="3"/>
  <c r="P13" i="27"/>
  <c r="V15" i="27"/>
  <c r="T13" i="27"/>
  <c r="T14" i="27"/>
  <c r="T15" i="27"/>
  <c r="I402" i="3"/>
  <c r="N402" i="3"/>
  <c r="L402" i="3"/>
  <c r="M416" i="3"/>
  <c r="P413" i="3"/>
  <c r="O17" i="28"/>
  <c r="P403" i="3"/>
  <c r="J413" i="3"/>
  <c r="P410" i="3"/>
  <c r="P416" i="3"/>
  <c r="J416" i="3"/>
  <c r="J410" i="3"/>
  <c r="J403" i="3"/>
  <c r="M413" i="3"/>
  <c r="M410" i="3"/>
  <c r="M403" i="3"/>
  <c r="J320" i="3" l="1"/>
  <c r="J86" i="3"/>
  <c r="H83" i="3"/>
  <c r="P86" i="3"/>
  <c r="M86" i="3"/>
  <c r="M93" i="3"/>
  <c r="H291" i="3"/>
  <c r="I291" i="3"/>
  <c r="L291" i="3"/>
  <c r="E21" i="26" s="1"/>
  <c r="U324" i="3"/>
  <c r="K324" i="3"/>
  <c r="K296" i="3"/>
  <c r="M296" i="3"/>
  <c r="M324" i="3"/>
  <c r="J324" i="3"/>
  <c r="J296" i="3"/>
  <c r="P324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8" i="3"/>
  <c r="O22" i="26" s="1"/>
  <c r="T131" i="3"/>
  <c r="S328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8" i="3"/>
  <c r="R328" i="3"/>
  <c r="K22" i="26" s="1"/>
  <c r="I328" i="3"/>
  <c r="N328" i="3"/>
  <c r="G22" i="26" s="1"/>
  <c r="J338" i="3"/>
  <c r="M338" i="3"/>
  <c r="P236" i="3"/>
  <c r="M236" i="3"/>
  <c r="H235" i="3"/>
  <c r="J331" i="3"/>
  <c r="M331" i="3"/>
  <c r="H9" i="3"/>
  <c r="P338" i="3"/>
  <c r="P331" i="3"/>
  <c r="U405" i="3"/>
  <c r="M405" i="3"/>
  <c r="K406" i="3"/>
  <c r="K396" i="3" s="1"/>
  <c r="J405" i="3"/>
  <c r="L394" i="3"/>
  <c r="E25" i="26" s="1"/>
  <c r="I394" i="3"/>
  <c r="H394" i="3"/>
  <c r="P405" i="3"/>
  <c r="O394" i="3"/>
  <c r="H25" i="26" s="1"/>
  <c r="R394" i="3"/>
  <c r="K25" i="26" s="1"/>
  <c r="T394" i="3"/>
  <c r="O25" i="26" s="1"/>
  <c r="S394" i="3"/>
  <c r="M25" i="26" s="1"/>
  <c r="N394" i="3"/>
  <c r="G25" i="26" s="1"/>
  <c r="H208" i="3"/>
  <c r="U241" i="3"/>
  <c r="R103" i="3"/>
  <c r="R117" i="3"/>
  <c r="I103" i="3"/>
  <c r="J121" i="3"/>
  <c r="J117" i="3" s="1"/>
  <c r="I9" i="3"/>
  <c r="U368" i="3"/>
  <c r="J71" i="3"/>
  <c r="H110" i="3"/>
  <c r="I235" i="3"/>
  <c r="M372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7" i="3"/>
  <c r="M135" i="3"/>
  <c r="M397" i="3"/>
  <c r="M121" i="3"/>
  <c r="M117" i="3" s="1"/>
  <c r="K389" i="3"/>
  <c r="K382" i="3" s="1"/>
  <c r="J230" i="3"/>
  <c r="J241" i="3"/>
  <c r="S9" i="3"/>
  <c r="M17" i="19" s="1"/>
  <c r="K122" i="3"/>
  <c r="K121" i="3" s="1"/>
  <c r="K137" i="3"/>
  <c r="K129" i="3" s="1"/>
  <c r="P397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80" i="3"/>
  <c r="E24" i="26" s="1"/>
  <c r="H380" i="3"/>
  <c r="J11" i="3"/>
  <c r="J388" i="3"/>
  <c r="T9" i="3"/>
  <c r="O17" i="19" s="1"/>
  <c r="H65" i="3"/>
  <c r="P11" i="3"/>
  <c r="M12" i="3"/>
  <c r="M11" i="3"/>
  <c r="P376" i="3"/>
  <c r="O9" i="3"/>
  <c r="H17" i="19" s="1"/>
  <c r="O380" i="3"/>
  <c r="H24" i="26" s="1"/>
  <c r="P388" i="3"/>
  <c r="N380" i="3"/>
  <c r="G24" i="26" s="1"/>
  <c r="N24" i="26" s="1"/>
  <c r="M388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9" i="3"/>
  <c r="K338" i="3" s="1"/>
  <c r="M127" i="3"/>
  <c r="M125" i="3" s="1"/>
  <c r="P127" i="3"/>
  <c r="P125" i="3" s="1"/>
  <c r="K136" i="3"/>
  <c r="K105" i="3"/>
  <c r="K133" i="3"/>
  <c r="J127" i="3"/>
  <c r="J125" i="3" s="1"/>
  <c r="P364" i="3"/>
  <c r="K276" i="3"/>
  <c r="K275" i="3" s="1"/>
  <c r="J11" i="26"/>
  <c r="K392" i="3"/>
  <c r="K385" i="3" s="1"/>
  <c r="N354" i="3"/>
  <c r="G23" i="26" s="1"/>
  <c r="P368" i="3"/>
  <c r="U268" i="3"/>
  <c r="U334" i="3"/>
  <c r="J18" i="26"/>
  <c r="U248" i="3"/>
  <c r="U253" i="3"/>
  <c r="U372" i="3"/>
  <c r="U155" i="3"/>
  <c r="U139" i="3"/>
  <c r="U149" i="3"/>
  <c r="U364" i="3"/>
  <c r="U402" i="3"/>
  <c r="U191" i="3"/>
  <c r="U29" i="3"/>
  <c r="U37" i="3"/>
  <c r="J16" i="19"/>
  <c r="U57" i="3"/>
  <c r="K112" i="3"/>
  <c r="K111" i="3" s="1"/>
  <c r="U412" i="3"/>
  <c r="J18" i="19"/>
  <c r="K222" i="3"/>
  <c r="K221" i="3" s="1"/>
  <c r="J268" i="3"/>
  <c r="K25" i="3"/>
  <c r="U214" i="3"/>
  <c r="U301" i="3"/>
  <c r="U264" i="3"/>
  <c r="U409" i="3"/>
  <c r="U233" i="3"/>
  <c r="U376" i="3"/>
  <c r="U257" i="3"/>
  <c r="U89" i="3"/>
  <c r="U360" i="3"/>
  <c r="K172" i="3"/>
  <c r="K171" i="3" s="1"/>
  <c r="U281" i="3"/>
  <c r="U244" i="3"/>
  <c r="K239" i="3"/>
  <c r="K228" i="3" s="1"/>
  <c r="U388" i="3"/>
  <c r="K49" i="3"/>
  <c r="K48" i="3" s="1"/>
  <c r="U287" i="3"/>
  <c r="U415" i="3"/>
  <c r="P25" i="3"/>
  <c r="P357" i="3"/>
  <c r="K72" i="3"/>
  <c r="P372" i="3"/>
  <c r="L354" i="3"/>
  <c r="E23" i="26" s="1"/>
  <c r="M268" i="3"/>
  <c r="P20" i="3"/>
  <c r="K198" i="3"/>
  <c r="K197" i="3" s="1"/>
  <c r="K119" i="3"/>
  <c r="K118" i="3" s="1"/>
  <c r="M25" i="3"/>
  <c r="M368" i="3"/>
  <c r="K309" i="3"/>
  <c r="K308" i="3" s="1"/>
  <c r="K303" i="3"/>
  <c r="K294" i="3" s="1"/>
  <c r="L224" i="3"/>
  <c r="E17" i="26" s="1"/>
  <c r="I224" i="3"/>
  <c r="L139" i="3"/>
  <c r="E13" i="26" s="1"/>
  <c r="K71" i="3"/>
  <c r="K336" i="3"/>
  <c r="K331" i="3" s="1"/>
  <c r="K21" i="3"/>
  <c r="K20" i="3" s="1"/>
  <c r="K178" i="3"/>
  <c r="K177" i="3" s="1"/>
  <c r="H281" i="3"/>
  <c r="K55" i="3"/>
  <c r="K54" i="3" s="1"/>
  <c r="K357" i="3"/>
  <c r="J25" i="3"/>
  <c r="K313" i="3"/>
  <c r="K312" i="3" s="1"/>
  <c r="K233" i="3"/>
  <c r="K377" i="3"/>
  <c r="K376" i="3" s="1"/>
  <c r="J376" i="3"/>
  <c r="K157" i="3"/>
  <c r="K152" i="3" s="1"/>
  <c r="H328" i="3"/>
  <c r="M104" i="3"/>
  <c r="J104" i="3"/>
  <c r="M364" i="3"/>
  <c r="M155" i="3"/>
  <c r="M151" i="3"/>
  <c r="M149" i="3" s="1"/>
  <c r="F14" i="26" s="1"/>
  <c r="H257" i="3"/>
  <c r="M293" i="3"/>
  <c r="K194" i="3"/>
  <c r="L328" i="3"/>
  <c r="E22" i="26" s="1"/>
  <c r="K266" i="3"/>
  <c r="K260" i="3" s="1"/>
  <c r="J293" i="3"/>
  <c r="N224" i="3"/>
  <c r="G17" i="26" s="1"/>
  <c r="M31" i="3"/>
  <c r="M29" i="3" s="1"/>
  <c r="F16" i="19" s="1"/>
  <c r="M34" i="3"/>
  <c r="M383" i="3"/>
  <c r="J69" i="3"/>
  <c r="J264" i="3"/>
  <c r="M330" i="3"/>
  <c r="M334" i="3"/>
  <c r="J185" i="3"/>
  <c r="K163" i="3"/>
  <c r="K162" i="3" s="1"/>
  <c r="J383" i="3"/>
  <c r="J330" i="3"/>
  <c r="J334" i="3"/>
  <c r="K166" i="3"/>
  <c r="K165" i="3" s="1"/>
  <c r="K283" i="3"/>
  <c r="M69" i="3"/>
  <c r="K352" i="3"/>
  <c r="K351" i="3" s="1"/>
  <c r="J351" i="3"/>
  <c r="K181" i="3"/>
  <c r="K180" i="3" s="1"/>
  <c r="L149" i="3"/>
  <c r="E14" i="26" s="1"/>
  <c r="J145" i="3"/>
  <c r="J141" i="3"/>
  <c r="J139" i="3" s="1"/>
  <c r="C13" i="26" s="1"/>
  <c r="M20" i="3"/>
  <c r="M210" i="3"/>
  <c r="K343" i="3"/>
  <c r="K342" i="3" s="1"/>
  <c r="K265" i="3"/>
  <c r="I354" i="3"/>
  <c r="K245" i="3"/>
  <c r="K244" i="3" s="1"/>
  <c r="J244" i="3"/>
  <c r="M357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6" i="3"/>
  <c r="H354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60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3" i="3"/>
  <c r="K372" i="3" s="1"/>
  <c r="J372" i="3"/>
  <c r="K147" i="3"/>
  <c r="K142" i="3" s="1"/>
  <c r="K365" i="3"/>
  <c r="K364" i="3" s="1"/>
  <c r="J364" i="3"/>
  <c r="K349" i="3"/>
  <c r="K348" i="3" s="1"/>
  <c r="K391" i="3"/>
  <c r="K384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60" i="3"/>
  <c r="J356" i="3"/>
  <c r="K369" i="3"/>
  <c r="K368" i="3" s="1"/>
  <c r="J368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6" i="3"/>
  <c r="K345" i="3" s="1"/>
  <c r="J345" i="3"/>
  <c r="M185" i="3"/>
  <c r="M233" i="3"/>
  <c r="M227" i="3"/>
  <c r="M356" i="3"/>
  <c r="M360" i="3"/>
  <c r="K52" i="3"/>
  <c r="K51" i="3" s="1"/>
  <c r="J51" i="3"/>
  <c r="M85" i="3"/>
  <c r="J253" i="3"/>
  <c r="J250" i="3"/>
  <c r="J248" i="3" s="1"/>
  <c r="C18" i="26" s="1"/>
  <c r="J15" i="3"/>
  <c r="J357" i="3"/>
  <c r="M244" i="3"/>
  <c r="K35" i="3"/>
  <c r="M15" i="3"/>
  <c r="K390" i="3"/>
  <c r="R354" i="3"/>
  <c r="K23" i="26" s="1"/>
  <c r="P268" i="3"/>
  <c r="P244" i="3"/>
  <c r="O328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4" i="3"/>
  <c r="O23" i="26" s="1"/>
  <c r="P15" i="3"/>
  <c r="P264" i="3"/>
  <c r="P85" i="3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4" i="3"/>
  <c r="H23" i="26" s="1"/>
  <c r="P141" i="3"/>
  <c r="P139" i="3" s="1"/>
  <c r="P145" i="3"/>
  <c r="P330" i="3"/>
  <c r="P334" i="3"/>
  <c r="P383" i="3"/>
  <c r="P380" i="3" s="1"/>
  <c r="P210" i="3"/>
  <c r="P208" i="3" s="1"/>
  <c r="P185" i="3"/>
  <c r="P360" i="3"/>
  <c r="P356" i="3"/>
  <c r="P31" i="3"/>
  <c r="P29" i="3" s="1"/>
  <c r="P34" i="3"/>
  <c r="P233" i="3"/>
  <c r="P227" i="3"/>
  <c r="P293" i="3"/>
  <c r="O281" i="3"/>
  <c r="H20" i="26" s="1"/>
  <c r="J20" i="26" s="1"/>
  <c r="S354" i="3"/>
  <c r="M23" i="26" s="1"/>
  <c r="P253" i="3"/>
  <c r="P250" i="3"/>
  <c r="P248" i="3" s="1"/>
  <c r="P226" i="3"/>
  <c r="P287" i="3"/>
  <c r="P283" i="3"/>
  <c r="P281" i="3" s="1"/>
  <c r="J398" i="3"/>
  <c r="P398" i="3"/>
  <c r="M398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2" i="3"/>
  <c r="R19" i="28"/>
  <c r="T19" i="28"/>
  <c r="J415" i="3"/>
  <c r="P415" i="3"/>
  <c r="M415" i="3"/>
  <c r="M412" i="3"/>
  <c r="K14" i="27"/>
  <c r="J412" i="3"/>
  <c r="J409" i="3"/>
  <c r="K404" i="3"/>
  <c r="K399" i="3" s="1"/>
  <c r="M409" i="3"/>
  <c r="P409" i="3"/>
  <c r="V17" i="27"/>
  <c r="T17" i="27"/>
  <c r="R22" i="28"/>
  <c r="V12" i="27"/>
  <c r="V22" i="28"/>
  <c r="R17" i="27"/>
  <c r="P12" i="28"/>
  <c r="T21" i="28"/>
  <c r="P16" i="28"/>
  <c r="P22" i="28"/>
  <c r="T12" i="27"/>
  <c r="J402" i="3"/>
  <c r="R21" i="28"/>
  <c r="T22" i="28"/>
  <c r="V21" i="28"/>
  <c r="P12" i="27"/>
  <c r="P13" i="28"/>
  <c r="M402" i="3"/>
  <c r="P402" i="3"/>
  <c r="K413" i="3"/>
  <c r="K412" i="3" s="1"/>
  <c r="K410" i="3"/>
  <c r="K409" i="3" s="1"/>
  <c r="L18" i="27"/>
  <c r="K15" i="27"/>
  <c r="O13" i="28"/>
  <c r="L14" i="27"/>
  <c r="O16" i="28"/>
  <c r="N14" i="27"/>
  <c r="M20" i="28"/>
  <c r="K18" i="27"/>
  <c r="K416" i="3"/>
  <c r="K415" i="3" s="1"/>
  <c r="M12" i="28"/>
  <c r="M18" i="27"/>
  <c r="M16" i="28"/>
  <c r="K13" i="27"/>
  <c r="N18" i="27"/>
  <c r="N13" i="27"/>
  <c r="M13" i="28"/>
  <c r="O12" i="28"/>
  <c r="O18" i="27"/>
  <c r="N12" i="28"/>
  <c r="K403" i="3"/>
  <c r="N15" i="27"/>
  <c r="P83" i="3" l="1"/>
  <c r="U131" i="3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8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8" i="3"/>
  <c r="F22" i="26" s="1"/>
  <c r="U328" i="3"/>
  <c r="K236" i="3"/>
  <c r="P328" i="3"/>
  <c r="J328" i="3"/>
  <c r="C22" i="26" s="1"/>
  <c r="K405" i="3"/>
  <c r="J394" i="3"/>
  <c r="M394" i="3"/>
  <c r="P394" i="3"/>
  <c r="K397" i="3"/>
  <c r="U103" i="3"/>
  <c r="U97" i="3"/>
  <c r="P103" i="3"/>
  <c r="K135" i="3"/>
  <c r="I418" i="3"/>
  <c r="K75" i="3"/>
  <c r="M9" i="3"/>
  <c r="F17" i="19" s="1"/>
  <c r="K214" i="3"/>
  <c r="K101" i="3"/>
  <c r="K388" i="3"/>
  <c r="J208" i="3"/>
  <c r="C16" i="26" s="1"/>
  <c r="J16" i="26"/>
  <c r="U208" i="3"/>
  <c r="P9" i="3"/>
  <c r="M208" i="3"/>
  <c r="F16" i="26" s="1"/>
  <c r="J9" i="3"/>
  <c r="C17" i="19" s="1"/>
  <c r="H418" i="3"/>
  <c r="J380" i="3"/>
  <c r="C24" i="26" s="1"/>
  <c r="K11" i="3"/>
  <c r="K9" i="3" s="1"/>
  <c r="D17" i="19" s="1"/>
  <c r="U380" i="3"/>
  <c r="J24" i="26"/>
  <c r="M380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4" i="3"/>
  <c r="J23" i="26"/>
  <c r="U224" i="3"/>
  <c r="J17" i="26"/>
  <c r="J25" i="26"/>
  <c r="U394" i="3"/>
  <c r="J12" i="26"/>
  <c r="K334" i="3"/>
  <c r="U65" i="3"/>
  <c r="U9" i="3"/>
  <c r="K287" i="3"/>
  <c r="J17" i="19"/>
  <c r="P354" i="3"/>
  <c r="K281" i="3"/>
  <c r="D20" i="26" s="1"/>
  <c r="M224" i="3"/>
  <c r="F17" i="26" s="1"/>
  <c r="L418" i="3"/>
  <c r="K31" i="3"/>
  <c r="K29" i="3" s="1"/>
  <c r="D16" i="19" s="1"/>
  <c r="K34" i="3"/>
  <c r="K185" i="3"/>
  <c r="K226" i="3"/>
  <c r="J354" i="3"/>
  <c r="C23" i="26" s="1"/>
  <c r="K155" i="3"/>
  <c r="K151" i="3"/>
  <c r="K149" i="3" s="1"/>
  <c r="D14" i="26" s="1"/>
  <c r="K264" i="3"/>
  <c r="K42" i="3"/>
  <c r="K39" i="3"/>
  <c r="K37" i="3" s="1"/>
  <c r="D11" i="26" s="1"/>
  <c r="M354" i="3"/>
  <c r="F23" i="26" s="1"/>
  <c r="K15" i="3"/>
  <c r="K383" i="3"/>
  <c r="K330" i="3"/>
  <c r="K328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6" i="3"/>
  <c r="K354" i="3" s="1"/>
  <c r="D23" i="26" s="1"/>
  <c r="J224" i="3"/>
  <c r="C17" i="26" s="1"/>
  <c r="K59" i="3"/>
  <c r="K57" i="3" s="1"/>
  <c r="D18" i="19" s="1"/>
  <c r="K62" i="3"/>
  <c r="K227" i="3"/>
  <c r="T17" i="28"/>
  <c r="U17" i="28" s="1"/>
  <c r="S418" i="3"/>
  <c r="I90" i="15" s="1"/>
  <c r="P17" i="28"/>
  <c r="Q17" i="28" s="1"/>
  <c r="O418" i="3"/>
  <c r="R17" i="28"/>
  <c r="V17" i="28"/>
  <c r="W17" i="28" s="1"/>
  <c r="T418" i="3"/>
  <c r="K90" i="15" s="1"/>
  <c r="N418" i="3"/>
  <c r="K398" i="3"/>
  <c r="K11" i="28"/>
  <c r="N11" i="28"/>
  <c r="K14" i="28"/>
  <c r="N24" i="28"/>
  <c r="K18" i="28"/>
  <c r="N18" i="28"/>
  <c r="R19" i="27"/>
  <c r="K19" i="28"/>
  <c r="M14" i="27"/>
  <c r="O14" i="27" s="1"/>
  <c r="U14" i="27" s="1"/>
  <c r="K402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8" i="3"/>
  <c r="P418" i="3"/>
  <c r="N101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8" i="3"/>
  <c r="K394" i="3"/>
  <c r="K208" i="3"/>
  <c r="D16" i="26" s="1"/>
  <c r="K380" i="3"/>
  <c r="D24" i="26" s="1"/>
  <c r="K65" i="3"/>
  <c r="D12" i="26" s="1"/>
  <c r="K103" i="3"/>
  <c r="D11" i="19"/>
  <c r="J418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8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<sst xmlns="http://schemas.openxmlformats.org/spreadsheetml/2006/main" count="1233" uniqueCount="360">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</sst>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vertical="center"/>
    </xf>
    <xf numFmtId="0" fontId="61" fillId="6" borderId="53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8" t="s">
        <v>68</v>
      </c>
      <c r="C1" s="478"/>
      <c r="D1" s="478"/>
      <c r="E1" s="478"/>
      <c r="F1" s="478"/>
      <c r="G1" s="478"/>
      <c r="H1" s="478"/>
      <c r="I1" s="478"/>
      <c r="J1" s="478"/>
      <c r="K1" s="47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9" t="s">
        <v>0</v>
      </c>
      <c r="C8" s="479" t="s">
        <v>1</v>
      </c>
      <c r="D8" s="479"/>
      <c r="E8" s="54" t="s">
        <v>66</v>
      </c>
      <c r="F8" s="480" t="s">
        <v>71</v>
      </c>
      <c r="G8" s="480"/>
      <c r="H8" s="480"/>
      <c r="I8" s="480"/>
      <c r="J8" s="480"/>
      <c r="K8" s="55" t="s">
        <v>9</v>
      </c>
    </row>
    <row r="9" spans="1:15" x14ac:dyDescent="0.2">
      <c r="B9" s="479"/>
      <c r="C9" s="479"/>
      <c r="D9" s="479"/>
      <c r="E9" s="48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9"/>
      <c r="C10" s="479"/>
      <c r="D10" s="479"/>
      <c r="E10" s="48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9"/>
      <c r="C11" s="479"/>
      <c r="D11" s="47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7" t="s">
        <v>10</v>
      </c>
      <c r="D101" s="47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44857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8" t="s">
        <v>93</v>
      </c>
      <c r="L7" s="525" t="s">
        <v>125</v>
      </c>
      <c r="M7" s="540" t="s">
        <v>94</v>
      </c>
      <c r="N7" s="542" t="s">
        <v>186</v>
      </c>
      <c r="O7" s="540" t="s">
        <v>116</v>
      </c>
      <c r="P7" s="542" t="s">
        <v>105</v>
      </c>
      <c r="Q7" s="540" t="s">
        <v>95</v>
      </c>
      <c r="R7" s="542" t="s">
        <v>188</v>
      </c>
      <c r="S7" s="545" t="s">
        <v>187</v>
      </c>
      <c r="T7" s="542" t="s">
        <v>189</v>
      </c>
      <c r="U7" s="542" t="s">
        <v>190</v>
      </c>
      <c r="V7" s="542" t="s">
        <v>191</v>
      </c>
      <c r="W7" s="542" t="s">
        <v>192</v>
      </c>
      <c r="X7" s="547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6"/>
      <c r="C8" s="208"/>
      <c r="D8" s="209"/>
      <c r="E8" s="208"/>
      <c r="F8" s="210"/>
      <c r="G8" s="208"/>
      <c r="H8" s="211"/>
      <c r="I8" s="211"/>
      <c r="J8" s="212"/>
      <c r="K8" s="539"/>
      <c r="L8" s="526"/>
      <c r="M8" s="541"/>
      <c r="N8" s="543"/>
      <c r="O8" s="541"/>
      <c r="P8" s="543"/>
      <c r="Q8" s="541"/>
      <c r="R8" s="543"/>
      <c r="S8" s="546"/>
      <c r="T8" s="543"/>
      <c r="U8" s="543"/>
      <c r="V8" s="543"/>
      <c r="W8" s="543"/>
      <c r="X8" s="547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6"/>
      <c r="C9" s="208"/>
      <c r="D9" s="209"/>
      <c r="E9" s="208"/>
      <c r="F9" s="210"/>
      <c r="G9" s="208"/>
      <c r="H9" s="211"/>
      <c r="I9" s="211"/>
      <c r="J9" s="212"/>
      <c r="K9" s="539"/>
      <c r="L9" s="526"/>
      <c r="M9" s="541"/>
      <c r="N9" s="544"/>
      <c r="O9" s="541"/>
      <c r="P9" s="544"/>
      <c r="Q9" s="541"/>
      <c r="R9" s="544"/>
      <c r="S9" s="546"/>
      <c r="T9" s="544"/>
      <c r="U9" s="544"/>
      <c r="V9" s="544"/>
      <c r="W9" s="544"/>
      <c r="X9" s="547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8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2"/>
      <c r="D81" s="48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1"/>
  <sheetViews>
    <sheetView showGridLines="0" zoomScale="80" zoomScaleNormal="80" workbookViewId="0">
      <pane xSplit="5" ySplit="4" topLeftCell="I89" activePane="bottomRight" state="frozen"/>
      <selection activeCell="B3" sqref="B3:B4"/>
      <selection pane="topRight" activeCell="B3" sqref="B3:B4"/>
      <selection pane="bottomLeft" activeCell="B3" sqref="B3:B4"/>
      <selection pane="bottomRight" activeCell="B106" sqref="B106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6" t="s">
        <v>48</v>
      </c>
      <c r="B3" s="486" t="s">
        <v>62</v>
      </c>
      <c r="C3" s="486" t="s">
        <v>346</v>
      </c>
      <c r="D3" s="486"/>
      <c r="E3" s="486" t="s">
        <v>347</v>
      </c>
      <c r="F3" s="483" t="s">
        <v>86</v>
      </c>
      <c r="G3" s="483" t="s">
        <v>348</v>
      </c>
      <c r="H3" s="483" t="s">
        <v>87</v>
      </c>
      <c r="I3" s="483" t="s">
        <v>349</v>
      </c>
      <c r="J3" s="483" t="s">
        <v>2</v>
      </c>
      <c r="K3" s="483" t="s">
        <v>350</v>
      </c>
      <c r="L3" s="483" t="s">
        <v>88</v>
      </c>
      <c r="M3" s="483" t="s">
        <v>4</v>
      </c>
      <c r="N3" s="483" t="s">
        <v>5</v>
      </c>
      <c r="O3" s="483" t="s">
        <v>12</v>
      </c>
      <c r="P3" s="483" t="s">
        <v>3</v>
      </c>
    </row>
    <row r="4" spans="1:17" s="445" customFormat="1" ht="32.1" customHeight="1" x14ac:dyDescent="0.2">
      <c r="A4" s="487"/>
      <c r="B4" s="486"/>
      <c r="C4" s="486"/>
      <c r="D4" s="486"/>
      <c r="E4" s="486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4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5">
        <v>500000</v>
      </c>
      <c r="G5" s="475">
        <v>0</v>
      </c>
      <c r="H5" s="475">
        <v>500000</v>
      </c>
      <c r="I5" s="475">
        <v>1459817</v>
      </c>
      <c r="J5" s="475">
        <v>1959817</v>
      </c>
      <c r="K5" s="475">
        <v>0</v>
      </c>
      <c r="L5" s="475">
        <v>1959817</v>
      </c>
      <c r="M5" s="475">
        <v>2.0600000000558798</v>
      </c>
      <c r="N5" s="475">
        <v>2.06</v>
      </c>
      <c r="O5" s="475"/>
      <c r="P5" s="447">
        <f>+L5-O5</f>
        <v>1959817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6">
        <v>50000</v>
      </c>
      <c r="G6" s="476">
        <v>0</v>
      </c>
      <c r="H6" s="476">
        <v>50000</v>
      </c>
      <c r="I6" s="476">
        <v>294098</v>
      </c>
      <c r="J6" s="476">
        <v>344098</v>
      </c>
      <c r="K6" s="476">
        <v>0</v>
      </c>
      <c r="L6" s="476">
        <v>344098</v>
      </c>
      <c r="M6" s="476">
        <v>0</v>
      </c>
      <c r="N6" s="476">
        <v>0</v>
      </c>
      <c r="O6" s="476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5">
        <v>300000</v>
      </c>
      <c r="G7" s="475">
        <v>0</v>
      </c>
      <c r="H7" s="475">
        <v>300000</v>
      </c>
      <c r="I7" s="475">
        <v>0</v>
      </c>
      <c r="J7" s="475">
        <v>300000</v>
      </c>
      <c r="K7" s="475">
        <v>0</v>
      </c>
      <c r="L7" s="475">
        <v>300000</v>
      </c>
      <c r="M7" s="475">
        <v>11988.21</v>
      </c>
      <c r="N7" s="475">
        <v>11988.21</v>
      </c>
      <c r="O7" s="47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6">
        <v>10000</v>
      </c>
      <c r="G8" s="476">
        <v>0</v>
      </c>
      <c r="H8" s="476">
        <v>10000</v>
      </c>
      <c r="I8" s="476">
        <v>-3280</v>
      </c>
      <c r="J8" s="476">
        <v>6720</v>
      </c>
      <c r="K8" s="476">
        <v>0</v>
      </c>
      <c r="L8" s="476">
        <v>6720</v>
      </c>
      <c r="M8" s="476">
        <v>2491.8000000000002</v>
      </c>
      <c r="N8" s="476">
        <v>2491.8000000000002</v>
      </c>
      <c r="O8" s="476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5">
        <v>1000000</v>
      </c>
      <c r="G9" s="475">
        <v>0</v>
      </c>
      <c r="H9" s="475">
        <v>1000000</v>
      </c>
      <c r="I9" s="475">
        <v>-114817</v>
      </c>
      <c r="J9" s="475">
        <v>885183</v>
      </c>
      <c r="K9" s="475">
        <v>0</v>
      </c>
      <c r="L9" s="475">
        <v>885183</v>
      </c>
      <c r="M9" s="475">
        <v>885183</v>
      </c>
      <c r="N9" s="475">
        <v>0</v>
      </c>
      <c r="O9" s="475">
        <v>885183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6">
        <v>50000</v>
      </c>
      <c r="G10" s="476">
        <v>0</v>
      </c>
      <c r="H10" s="476">
        <v>50000</v>
      </c>
      <c r="I10" s="476">
        <v>150000</v>
      </c>
      <c r="J10" s="476">
        <v>200000</v>
      </c>
      <c r="K10" s="476">
        <v>0</v>
      </c>
      <c r="L10" s="476">
        <v>200000</v>
      </c>
      <c r="M10" s="476">
        <v>200000</v>
      </c>
      <c r="N10" s="476">
        <v>0</v>
      </c>
      <c r="O10" s="476">
        <v>200000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5">
        <v>60000</v>
      </c>
      <c r="G11" s="475">
        <v>0</v>
      </c>
      <c r="H11" s="475">
        <v>60000</v>
      </c>
      <c r="I11" s="475">
        <v>0</v>
      </c>
      <c r="J11" s="475">
        <v>60000</v>
      </c>
      <c r="K11" s="475">
        <v>0</v>
      </c>
      <c r="L11" s="475">
        <v>60000</v>
      </c>
      <c r="M11" s="475">
        <v>60000</v>
      </c>
      <c r="N11" s="475">
        <v>13000</v>
      </c>
      <c r="O11" s="475">
        <v>47000</v>
      </c>
      <c r="P11" s="449">
        <f>+L11-O11</f>
        <v>13000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6">
        <v>30000</v>
      </c>
      <c r="G12" s="476">
        <v>0</v>
      </c>
      <c r="H12" s="476">
        <v>30000</v>
      </c>
      <c r="I12" s="476">
        <v>0</v>
      </c>
      <c r="J12" s="476">
        <v>30000</v>
      </c>
      <c r="K12" s="476">
        <v>0</v>
      </c>
      <c r="L12" s="476">
        <v>30000</v>
      </c>
      <c r="M12" s="476">
        <v>2873.19</v>
      </c>
      <c r="N12" s="476">
        <v>2873.19</v>
      </c>
      <c r="O12" s="47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5">
        <v>25000</v>
      </c>
      <c r="G13" s="475">
        <v>0</v>
      </c>
      <c r="H13" s="475">
        <v>25000</v>
      </c>
      <c r="I13" s="475">
        <v>0</v>
      </c>
      <c r="J13" s="475">
        <v>25000</v>
      </c>
      <c r="K13" s="475">
        <v>0</v>
      </c>
      <c r="L13" s="475">
        <v>25000</v>
      </c>
      <c r="M13" s="475">
        <v>25000</v>
      </c>
      <c r="N13" s="475">
        <v>25000</v>
      </c>
      <c r="O13" s="47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6">
        <v>50000</v>
      </c>
      <c r="G14" s="476">
        <v>0</v>
      </c>
      <c r="H14" s="476">
        <v>50000</v>
      </c>
      <c r="I14" s="476">
        <v>0</v>
      </c>
      <c r="J14" s="476">
        <v>50000</v>
      </c>
      <c r="K14" s="476">
        <v>0</v>
      </c>
      <c r="L14" s="476">
        <v>50000</v>
      </c>
      <c r="M14" s="476">
        <v>24442.13</v>
      </c>
      <c r="N14" s="476">
        <v>24442.13</v>
      </c>
      <c r="O14" s="47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5">
        <v>70000</v>
      </c>
      <c r="G15" s="475">
        <v>0</v>
      </c>
      <c r="H15" s="475">
        <v>70000</v>
      </c>
      <c r="I15" s="475">
        <v>0</v>
      </c>
      <c r="J15" s="475">
        <v>70000</v>
      </c>
      <c r="K15" s="475">
        <v>0</v>
      </c>
      <c r="L15" s="475">
        <v>70000</v>
      </c>
      <c r="M15" s="475">
        <v>119.919999999998</v>
      </c>
      <c r="N15" s="475">
        <v>119.92</v>
      </c>
      <c r="O15" s="47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6">
        <v>322868</v>
      </c>
      <c r="G16" s="476">
        <v>0</v>
      </c>
      <c r="H16" s="476">
        <v>322868</v>
      </c>
      <c r="I16" s="476">
        <v>30000</v>
      </c>
      <c r="J16" s="476">
        <v>352868</v>
      </c>
      <c r="K16" s="476">
        <v>0</v>
      </c>
      <c r="L16" s="476">
        <v>352868</v>
      </c>
      <c r="M16" s="476">
        <v>106816.47</v>
      </c>
      <c r="N16" s="476">
        <v>106816.47</v>
      </c>
      <c r="O16" s="476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5">
        <v>343663503</v>
      </c>
      <c r="G17" s="475">
        <v>-3436635</v>
      </c>
      <c r="H17" s="475">
        <v>340226868</v>
      </c>
      <c r="I17" s="475">
        <v>3436635</v>
      </c>
      <c r="J17" s="475">
        <v>343663503</v>
      </c>
      <c r="K17" s="475">
        <v>0</v>
      </c>
      <c r="L17" s="475">
        <v>343663503</v>
      </c>
      <c r="M17" s="475">
        <v>45418574.369999997</v>
      </c>
      <c r="N17" s="475">
        <v>45418574.369999997</v>
      </c>
      <c r="O17" s="475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6">
        <v>25591140</v>
      </c>
      <c r="G18" s="476">
        <v>0</v>
      </c>
      <c r="H18" s="476">
        <v>25591140</v>
      </c>
      <c r="I18" s="476">
        <v>-25591140</v>
      </c>
      <c r="J18" s="476">
        <v>0</v>
      </c>
      <c r="K18" s="476">
        <v>0</v>
      </c>
      <c r="L18" s="476">
        <v>0</v>
      </c>
      <c r="M18" s="476">
        <v>-1366426.2</v>
      </c>
      <c r="N18" s="476">
        <v>0</v>
      </c>
      <c r="O18" s="476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465">
        <v>174224</v>
      </c>
      <c r="C19" s="466">
        <v>3</v>
      </c>
      <c r="D19" s="467" t="s">
        <v>8</v>
      </c>
      <c r="E19" s="466">
        <v>188</v>
      </c>
      <c r="F19" s="475"/>
      <c r="G19" s="475">
        <v>0</v>
      </c>
      <c r="H19" s="475">
        <v>0</v>
      </c>
      <c r="I19" s="475">
        <v>25591140</v>
      </c>
      <c r="J19" s="475">
        <v>25591140</v>
      </c>
      <c r="K19" s="475">
        <v>0</v>
      </c>
      <c r="L19" s="475">
        <v>25591140</v>
      </c>
      <c r="M19" s="475">
        <v>1294633.04</v>
      </c>
      <c r="N19" s="475">
        <v>1294633.04</v>
      </c>
      <c r="O19" s="475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469">
        <v>174225</v>
      </c>
      <c r="C20" s="470">
        <v>3</v>
      </c>
      <c r="D20" s="471" t="s">
        <v>8</v>
      </c>
      <c r="E20" s="470">
        <v>151</v>
      </c>
      <c r="F20" s="476">
        <v>997967</v>
      </c>
      <c r="G20" s="476">
        <v>0</v>
      </c>
      <c r="H20" s="476">
        <v>997967</v>
      </c>
      <c r="I20" s="476">
        <v>-997967</v>
      </c>
      <c r="J20" s="476">
        <v>0</v>
      </c>
      <c r="K20" s="476">
        <v>0</v>
      </c>
      <c r="L20" s="476">
        <v>0</v>
      </c>
      <c r="M20" s="476">
        <v>-48670</v>
      </c>
      <c r="N20" s="476">
        <v>0</v>
      </c>
      <c r="O20" s="476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465">
        <v>174225</v>
      </c>
      <c r="C21" s="466">
        <v>3</v>
      </c>
      <c r="D21" s="467" t="s">
        <v>8</v>
      </c>
      <c r="E21" s="466">
        <v>188</v>
      </c>
      <c r="F21" s="475"/>
      <c r="G21" s="475">
        <v>0</v>
      </c>
      <c r="H21" s="475">
        <v>0</v>
      </c>
      <c r="I21" s="475">
        <v>997967</v>
      </c>
      <c r="J21" s="475">
        <v>997967</v>
      </c>
      <c r="K21" s="475">
        <v>0</v>
      </c>
      <c r="L21" s="475">
        <v>997967</v>
      </c>
      <c r="M21" s="475">
        <v>334025.08</v>
      </c>
      <c r="N21" s="475">
        <v>334025.08</v>
      </c>
      <c r="O21" s="475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469">
        <v>174228</v>
      </c>
      <c r="C22" s="470">
        <v>3</v>
      </c>
      <c r="D22" s="471" t="s">
        <v>8</v>
      </c>
      <c r="E22" s="470">
        <v>142</v>
      </c>
      <c r="F22" s="476">
        <v>400000</v>
      </c>
      <c r="G22" s="476">
        <v>0</v>
      </c>
      <c r="H22" s="476">
        <v>400000</v>
      </c>
      <c r="I22" s="476">
        <v>-400000</v>
      </c>
      <c r="J22" s="476">
        <v>0</v>
      </c>
      <c r="K22" s="476">
        <v>0</v>
      </c>
      <c r="L22" s="476">
        <v>0</v>
      </c>
      <c r="M22" s="476">
        <v>0</v>
      </c>
      <c r="N22" s="476">
        <v>0</v>
      </c>
      <c r="O22" s="476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465">
        <v>174229</v>
      </c>
      <c r="C23" s="466">
        <v>3</v>
      </c>
      <c r="D23" s="467" t="s">
        <v>8</v>
      </c>
      <c r="E23" s="466">
        <v>142</v>
      </c>
      <c r="F23" s="475">
        <v>400000</v>
      </c>
      <c r="G23" s="475">
        <v>0</v>
      </c>
      <c r="H23" s="475">
        <v>400000</v>
      </c>
      <c r="I23" s="475">
        <v>-400000</v>
      </c>
      <c r="J23" s="475">
        <v>0</v>
      </c>
      <c r="K23" s="475">
        <v>0</v>
      </c>
      <c r="L23" s="475">
        <v>0</v>
      </c>
      <c r="M23" s="475">
        <v>0</v>
      </c>
      <c r="N23" s="475">
        <v>0</v>
      </c>
      <c r="O23" s="475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469">
        <v>174230</v>
      </c>
      <c r="C24" s="470">
        <v>3</v>
      </c>
      <c r="D24" s="471" t="s">
        <v>8</v>
      </c>
      <c r="E24" s="470">
        <v>142</v>
      </c>
      <c r="F24" s="476">
        <v>300000</v>
      </c>
      <c r="G24" s="476">
        <v>0</v>
      </c>
      <c r="H24" s="476">
        <v>300000</v>
      </c>
      <c r="I24" s="476">
        <v>100000</v>
      </c>
      <c r="J24" s="476">
        <v>400000</v>
      </c>
      <c r="K24" s="476">
        <v>0</v>
      </c>
      <c r="L24" s="476">
        <v>400000</v>
      </c>
      <c r="M24" s="476">
        <v>70958.8</v>
      </c>
      <c r="N24" s="476">
        <v>70958.8</v>
      </c>
      <c r="O24" s="476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465">
        <v>174231</v>
      </c>
      <c r="C25" s="466">
        <v>3</v>
      </c>
      <c r="D25" s="467" t="s">
        <v>8</v>
      </c>
      <c r="E25" s="466">
        <v>142</v>
      </c>
      <c r="F25" s="475">
        <v>400000</v>
      </c>
      <c r="G25" s="475">
        <v>0</v>
      </c>
      <c r="H25" s="475">
        <v>400000</v>
      </c>
      <c r="I25" s="475">
        <v>100000</v>
      </c>
      <c r="J25" s="475">
        <v>500000</v>
      </c>
      <c r="K25" s="475">
        <v>0</v>
      </c>
      <c r="L25" s="475">
        <v>500000</v>
      </c>
      <c r="M25" s="475">
        <v>9714.8799999999992</v>
      </c>
      <c r="N25" s="475">
        <v>9714.8799999999992</v>
      </c>
      <c r="O25" s="475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469">
        <v>174231</v>
      </c>
      <c r="C26" s="470">
        <v>4</v>
      </c>
      <c r="D26" s="471" t="s">
        <v>7</v>
      </c>
      <c r="E26" s="470">
        <v>142</v>
      </c>
      <c r="F26" s="476">
        <v>200000</v>
      </c>
      <c r="G26" s="476">
        <v>0</v>
      </c>
      <c r="H26" s="476">
        <v>200000</v>
      </c>
      <c r="I26" s="476">
        <v>81211</v>
      </c>
      <c r="J26" s="476">
        <v>281211</v>
      </c>
      <c r="K26" s="476">
        <v>0</v>
      </c>
      <c r="L26" s="476">
        <v>281211</v>
      </c>
      <c r="M26" s="476">
        <v>0.94000000000232797</v>
      </c>
      <c r="N26" s="476">
        <v>0.94</v>
      </c>
      <c r="O26" s="476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465">
        <v>174232</v>
      </c>
      <c r="C27" s="466">
        <v>3</v>
      </c>
      <c r="D27" s="467" t="s">
        <v>8</v>
      </c>
      <c r="E27" s="466">
        <v>100</v>
      </c>
      <c r="F27" s="475"/>
      <c r="G27" s="475">
        <v>4950000</v>
      </c>
      <c r="H27" s="475">
        <v>4950000</v>
      </c>
      <c r="I27" s="475">
        <v>0</v>
      </c>
      <c r="J27" s="475">
        <v>4950000</v>
      </c>
      <c r="K27" s="475">
        <v>0</v>
      </c>
      <c r="L27" s="475">
        <v>4950000</v>
      </c>
      <c r="M27" s="475">
        <v>0</v>
      </c>
      <c r="N27" s="475">
        <v>0</v>
      </c>
      <c r="O27" s="475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469">
        <v>174232</v>
      </c>
      <c r="C28" s="470">
        <v>3</v>
      </c>
      <c r="D28" s="471" t="s">
        <v>8</v>
      </c>
      <c r="E28" s="470">
        <v>142</v>
      </c>
      <c r="F28" s="476">
        <v>33000000</v>
      </c>
      <c r="G28" s="476">
        <v>-4950000</v>
      </c>
      <c r="H28" s="476">
        <v>28050000</v>
      </c>
      <c r="I28" s="476">
        <v>1200000</v>
      </c>
      <c r="J28" s="476">
        <v>29250000</v>
      </c>
      <c r="K28" s="476">
        <v>0</v>
      </c>
      <c r="L28" s="476">
        <v>29250000</v>
      </c>
      <c r="M28" s="476">
        <v>586680.84</v>
      </c>
      <c r="N28" s="476">
        <v>253758.89</v>
      </c>
      <c r="O28" s="476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465">
        <v>174232</v>
      </c>
      <c r="C29" s="466">
        <v>4</v>
      </c>
      <c r="D29" s="467" t="s">
        <v>7</v>
      </c>
      <c r="E29" s="466">
        <v>142</v>
      </c>
      <c r="F29" s="475">
        <v>2000000</v>
      </c>
      <c r="G29" s="475">
        <v>0</v>
      </c>
      <c r="H29" s="475">
        <v>2000000</v>
      </c>
      <c r="I29" s="475">
        <v>-1200000</v>
      </c>
      <c r="J29" s="475">
        <v>800000</v>
      </c>
      <c r="K29" s="475">
        <v>0</v>
      </c>
      <c r="L29" s="475">
        <v>800000</v>
      </c>
      <c r="M29" s="475">
        <v>10730.51</v>
      </c>
      <c r="N29" s="475">
        <v>10730.51</v>
      </c>
      <c r="O29" s="475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469">
        <v>174233</v>
      </c>
      <c r="C30" s="470">
        <v>3</v>
      </c>
      <c r="D30" s="471" t="s">
        <v>8</v>
      </c>
      <c r="E30" s="470">
        <v>142</v>
      </c>
      <c r="F30" s="476">
        <v>200000</v>
      </c>
      <c r="G30" s="476">
        <v>0</v>
      </c>
      <c r="H30" s="476">
        <v>200000</v>
      </c>
      <c r="I30" s="476">
        <v>0</v>
      </c>
      <c r="J30" s="476">
        <v>200000</v>
      </c>
      <c r="K30" s="476">
        <v>0</v>
      </c>
      <c r="L30" s="476">
        <v>200000</v>
      </c>
      <c r="M30" s="476">
        <v>1.00000000093132E-2</v>
      </c>
      <c r="N30" s="476">
        <v>0.01</v>
      </c>
      <c r="O30" s="476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465">
        <v>174233</v>
      </c>
      <c r="C31" s="466">
        <v>4</v>
      </c>
      <c r="D31" s="467" t="s">
        <v>7</v>
      </c>
      <c r="E31" s="466">
        <v>142</v>
      </c>
      <c r="F31" s="475">
        <v>150000</v>
      </c>
      <c r="G31" s="475">
        <v>0</v>
      </c>
      <c r="H31" s="475">
        <v>150000</v>
      </c>
      <c r="I31" s="475">
        <v>0</v>
      </c>
      <c r="J31" s="475">
        <v>150000</v>
      </c>
      <c r="K31" s="475">
        <v>0</v>
      </c>
      <c r="L31" s="475">
        <v>150000</v>
      </c>
      <c r="M31" s="475">
        <v>1689.84</v>
      </c>
      <c r="N31" s="475">
        <v>1689.84</v>
      </c>
      <c r="O31" s="475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469">
        <v>174234</v>
      </c>
      <c r="C32" s="470">
        <v>3</v>
      </c>
      <c r="D32" s="471" t="s">
        <v>8</v>
      </c>
      <c r="E32" s="470">
        <v>142</v>
      </c>
      <c r="F32" s="476">
        <v>1000000</v>
      </c>
      <c r="G32" s="476">
        <v>0</v>
      </c>
      <c r="H32" s="476">
        <v>1000000</v>
      </c>
      <c r="I32" s="476">
        <v>0</v>
      </c>
      <c r="J32" s="476">
        <v>1000000</v>
      </c>
      <c r="K32" s="476">
        <v>0</v>
      </c>
      <c r="L32" s="476">
        <v>1000000</v>
      </c>
      <c r="M32" s="476">
        <v>28659.54</v>
      </c>
      <c r="N32" s="476">
        <v>28659.54</v>
      </c>
      <c r="O32" s="476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465">
        <v>174234</v>
      </c>
      <c r="C33" s="466">
        <v>4</v>
      </c>
      <c r="D33" s="467" t="s">
        <v>7</v>
      </c>
      <c r="E33" s="466">
        <v>142</v>
      </c>
      <c r="F33" s="475">
        <v>300000</v>
      </c>
      <c r="G33" s="475">
        <v>0</v>
      </c>
      <c r="H33" s="475">
        <v>300000</v>
      </c>
      <c r="I33" s="475">
        <v>700000</v>
      </c>
      <c r="J33" s="475">
        <v>1000000</v>
      </c>
      <c r="K33" s="475">
        <v>0</v>
      </c>
      <c r="L33" s="475">
        <v>1000000</v>
      </c>
      <c r="M33" s="475">
        <v>16685.38</v>
      </c>
      <c r="N33" s="475">
        <v>16685.38</v>
      </c>
      <c r="O33" s="475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469">
        <v>174235</v>
      </c>
      <c r="C34" s="470">
        <v>3</v>
      </c>
      <c r="D34" s="471" t="s">
        <v>8</v>
      </c>
      <c r="E34" s="470">
        <v>142</v>
      </c>
      <c r="F34" s="476">
        <v>200000</v>
      </c>
      <c r="G34" s="476">
        <v>0</v>
      </c>
      <c r="H34" s="476">
        <v>200000</v>
      </c>
      <c r="I34" s="476">
        <v>0</v>
      </c>
      <c r="J34" s="476">
        <v>200000</v>
      </c>
      <c r="K34" s="476">
        <v>0</v>
      </c>
      <c r="L34" s="476">
        <v>200000</v>
      </c>
      <c r="M34" s="476">
        <v>34268.78</v>
      </c>
      <c r="N34" s="476">
        <v>34268.78</v>
      </c>
      <c r="O34" s="476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465">
        <v>174236</v>
      </c>
      <c r="C35" s="466">
        <v>3</v>
      </c>
      <c r="D35" s="467" t="s">
        <v>8</v>
      </c>
      <c r="E35" s="466">
        <v>142</v>
      </c>
      <c r="F35" s="475">
        <v>200000</v>
      </c>
      <c r="G35" s="475">
        <v>0</v>
      </c>
      <c r="H35" s="475">
        <v>200000</v>
      </c>
      <c r="I35" s="475">
        <v>-20000</v>
      </c>
      <c r="J35" s="475">
        <v>180000</v>
      </c>
      <c r="K35" s="475">
        <v>0</v>
      </c>
      <c r="L35" s="475">
        <v>180000</v>
      </c>
      <c r="M35" s="475">
        <v>24929.74</v>
      </c>
      <c r="N35" s="475">
        <v>24929.74</v>
      </c>
      <c r="O35" s="475">
        <v>0</v>
      </c>
      <c r="P35" s="449">
        <f>+L35-O35</f>
        <v>180000</v>
      </c>
    </row>
    <row r="36" spans="1:16" ht="17.100000000000001" customHeight="1" x14ac:dyDescent="0.2">
      <c r="A36" s="446" t="str">
        <f t="shared" si="0"/>
        <v>174236-4-142</v>
      </c>
      <c r="B36" s="469">
        <v>174236</v>
      </c>
      <c r="C36" s="470">
        <v>4</v>
      </c>
      <c r="D36" s="471" t="s">
        <v>7</v>
      </c>
      <c r="E36" s="470">
        <v>142</v>
      </c>
      <c r="F36" s="476">
        <v>25000</v>
      </c>
      <c r="G36" s="476">
        <v>0</v>
      </c>
      <c r="H36" s="476">
        <v>25000</v>
      </c>
      <c r="I36" s="476">
        <v>-23614</v>
      </c>
      <c r="J36" s="476">
        <v>1386</v>
      </c>
      <c r="K36" s="476">
        <v>0</v>
      </c>
      <c r="L36" s="476">
        <v>1386</v>
      </c>
      <c r="M36" s="476">
        <v>1386</v>
      </c>
      <c r="N36" s="476">
        <v>1386</v>
      </c>
      <c r="O36" s="476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465">
        <v>174237</v>
      </c>
      <c r="C37" s="466">
        <v>3</v>
      </c>
      <c r="D37" s="467" t="s">
        <v>8</v>
      </c>
      <c r="E37" s="466">
        <v>142</v>
      </c>
      <c r="F37" s="475">
        <v>1305000</v>
      </c>
      <c r="G37" s="475">
        <v>0</v>
      </c>
      <c r="H37" s="475">
        <v>1305000</v>
      </c>
      <c r="I37" s="475">
        <v>-170832</v>
      </c>
      <c r="J37" s="475">
        <v>1134168</v>
      </c>
      <c r="K37" s="475">
        <v>0</v>
      </c>
      <c r="L37" s="475">
        <v>1134168</v>
      </c>
      <c r="M37" s="475">
        <v>171514.05</v>
      </c>
      <c r="N37" s="475">
        <v>3502.25</v>
      </c>
      <c r="O37" s="475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469">
        <v>174237</v>
      </c>
      <c r="C38" s="470">
        <v>4</v>
      </c>
      <c r="D38" s="471" t="s">
        <v>7</v>
      </c>
      <c r="E38" s="470">
        <v>142</v>
      </c>
      <c r="F38" s="476">
        <v>145000</v>
      </c>
      <c r="G38" s="476">
        <v>0</v>
      </c>
      <c r="H38" s="476">
        <v>145000</v>
      </c>
      <c r="I38" s="476">
        <v>0</v>
      </c>
      <c r="J38" s="476">
        <v>145000</v>
      </c>
      <c r="K38" s="476">
        <v>0</v>
      </c>
      <c r="L38" s="476">
        <v>145000</v>
      </c>
      <c r="M38" s="476">
        <v>145000</v>
      </c>
      <c r="N38" s="476">
        <v>0</v>
      </c>
      <c r="O38" s="476">
        <v>145000</v>
      </c>
      <c r="P38" s="448">
        <f t="shared" si="1"/>
        <v>0</v>
      </c>
    </row>
    <row r="39" spans="1:16" ht="17.100000000000001" customHeight="1" x14ac:dyDescent="0.2">
      <c r="A39" s="446" t="str">
        <f t="shared" si="0"/>
        <v>174238-3-142</v>
      </c>
      <c r="B39" s="465">
        <v>174238</v>
      </c>
      <c r="C39" s="466">
        <v>3</v>
      </c>
      <c r="D39" s="467" t="s">
        <v>8</v>
      </c>
      <c r="E39" s="466">
        <v>142</v>
      </c>
      <c r="F39" s="475">
        <v>200000</v>
      </c>
      <c r="G39" s="475">
        <v>0</v>
      </c>
      <c r="H39" s="475">
        <v>200000</v>
      </c>
      <c r="I39" s="475">
        <v>0</v>
      </c>
      <c r="J39" s="475">
        <v>200000</v>
      </c>
      <c r="K39" s="475">
        <v>0</v>
      </c>
      <c r="L39" s="475">
        <v>200000</v>
      </c>
      <c r="M39" s="475">
        <v>33720.269999999997</v>
      </c>
      <c r="N39" s="475">
        <v>33720.269999999997</v>
      </c>
      <c r="O39" s="475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469">
        <v>174239</v>
      </c>
      <c r="C40" s="470">
        <v>3</v>
      </c>
      <c r="D40" s="471" t="s">
        <v>8</v>
      </c>
      <c r="E40" s="470">
        <v>142</v>
      </c>
      <c r="F40" s="476">
        <v>5692518</v>
      </c>
      <c r="G40" s="476">
        <v>0</v>
      </c>
      <c r="H40" s="476">
        <v>5692518</v>
      </c>
      <c r="I40" s="476">
        <v>0</v>
      </c>
      <c r="J40" s="476">
        <v>5692518</v>
      </c>
      <c r="K40" s="476">
        <v>0</v>
      </c>
      <c r="L40" s="476">
        <v>5692518</v>
      </c>
      <c r="M40" s="476">
        <v>32703.4199999999</v>
      </c>
      <c r="N40" s="476">
        <v>32703.42</v>
      </c>
      <c r="O40" s="476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465">
        <v>174239</v>
      </c>
      <c r="C41" s="466">
        <v>4</v>
      </c>
      <c r="D41" s="467" t="s">
        <v>7</v>
      </c>
      <c r="E41" s="466">
        <v>142</v>
      </c>
      <c r="F41" s="475">
        <v>1000000</v>
      </c>
      <c r="G41" s="475">
        <v>0</v>
      </c>
      <c r="H41" s="475">
        <v>1000000</v>
      </c>
      <c r="I41" s="475">
        <v>0</v>
      </c>
      <c r="J41" s="475">
        <v>1000000</v>
      </c>
      <c r="K41" s="475">
        <v>0</v>
      </c>
      <c r="L41" s="475">
        <v>1000000</v>
      </c>
      <c r="M41" s="475">
        <v>18551.45</v>
      </c>
      <c r="N41" s="475">
        <v>18551.45</v>
      </c>
      <c r="O41" s="475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469">
        <v>174239</v>
      </c>
      <c r="C42" s="470">
        <v>3</v>
      </c>
      <c r="D42" s="471" t="s">
        <v>8</v>
      </c>
      <c r="E42" s="470">
        <v>150</v>
      </c>
      <c r="F42" s="476">
        <v>1807482</v>
      </c>
      <c r="G42" s="476">
        <v>0</v>
      </c>
      <c r="H42" s="476">
        <v>1807482</v>
      </c>
      <c r="I42" s="476">
        <v>0</v>
      </c>
      <c r="J42" s="476">
        <v>1807482</v>
      </c>
      <c r="K42" s="476">
        <v>0</v>
      </c>
      <c r="L42" s="476">
        <v>1807482</v>
      </c>
      <c r="M42" s="476">
        <v>51416.04</v>
      </c>
      <c r="N42" s="476">
        <v>51416.04</v>
      </c>
      <c r="O42" s="476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465">
        <v>174240</v>
      </c>
      <c r="C43" s="466">
        <v>3</v>
      </c>
      <c r="D43" s="467" t="s">
        <v>8</v>
      </c>
      <c r="E43" s="466">
        <v>142</v>
      </c>
      <c r="F43" s="475">
        <v>1408632</v>
      </c>
      <c r="G43" s="475">
        <v>0</v>
      </c>
      <c r="H43" s="475">
        <v>1408632</v>
      </c>
      <c r="I43" s="475">
        <v>-976723</v>
      </c>
      <c r="J43" s="475">
        <v>431909</v>
      </c>
      <c r="K43" s="475">
        <v>0</v>
      </c>
      <c r="L43" s="475">
        <v>431909</v>
      </c>
      <c r="M43" s="475">
        <v>21322.26</v>
      </c>
      <c r="N43" s="475">
        <v>21322.26</v>
      </c>
      <c r="O43" s="475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469">
        <v>174240</v>
      </c>
      <c r="C44" s="470">
        <v>4</v>
      </c>
      <c r="D44" s="471" t="s">
        <v>7</v>
      </c>
      <c r="E44" s="470">
        <v>142</v>
      </c>
      <c r="F44" s="476">
        <v>91368</v>
      </c>
      <c r="G44" s="476">
        <v>0</v>
      </c>
      <c r="H44" s="476">
        <v>91368</v>
      </c>
      <c r="I44" s="476">
        <v>800000</v>
      </c>
      <c r="J44" s="476">
        <v>891368</v>
      </c>
      <c r="K44" s="476">
        <v>0</v>
      </c>
      <c r="L44" s="476">
        <v>891368</v>
      </c>
      <c r="M44" s="476">
        <v>497</v>
      </c>
      <c r="N44" s="476">
        <v>497</v>
      </c>
      <c r="O44" s="476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465">
        <v>174241</v>
      </c>
      <c r="C45" s="466">
        <v>3</v>
      </c>
      <c r="D45" s="467" t="s">
        <v>8</v>
      </c>
      <c r="E45" s="466">
        <v>142</v>
      </c>
      <c r="F45" s="475">
        <v>1999999</v>
      </c>
      <c r="G45" s="475">
        <v>0</v>
      </c>
      <c r="H45" s="475">
        <v>1999999</v>
      </c>
      <c r="I45" s="475">
        <v>300253</v>
      </c>
      <c r="J45" s="475">
        <v>2300252</v>
      </c>
      <c r="K45" s="475">
        <v>0</v>
      </c>
      <c r="L45" s="475">
        <v>2300252</v>
      </c>
      <c r="M45" s="475">
        <v>3985.3999999999101</v>
      </c>
      <c r="N45" s="475">
        <v>3985.4</v>
      </c>
      <c r="O45" s="475"/>
      <c r="P45" s="449">
        <f>+L45-O45</f>
        <v>2300252</v>
      </c>
    </row>
    <row r="46" spans="1:16" ht="17.100000000000001" customHeight="1" x14ac:dyDescent="0.2">
      <c r="A46" s="446" t="str">
        <f t="shared" si="2"/>
        <v>174241-4-142</v>
      </c>
      <c r="B46" s="469">
        <v>174241</v>
      </c>
      <c r="C46" s="470">
        <v>4</v>
      </c>
      <c r="D46" s="471" t="s">
        <v>7</v>
      </c>
      <c r="E46" s="470">
        <v>142</v>
      </c>
      <c r="F46" s="476">
        <v>1000000</v>
      </c>
      <c r="G46" s="476">
        <v>0</v>
      </c>
      <c r="H46" s="476">
        <v>1000000</v>
      </c>
      <c r="I46" s="476">
        <v>0</v>
      </c>
      <c r="J46" s="476">
        <v>1000000</v>
      </c>
      <c r="K46" s="476">
        <v>0</v>
      </c>
      <c r="L46" s="476">
        <v>1000000</v>
      </c>
      <c r="M46" s="476">
        <v>344656.56</v>
      </c>
      <c r="N46" s="476">
        <v>74656.56</v>
      </c>
      <c r="O46" s="476">
        <v>270000</v>
      </c>
      <c r="P46" s="448">
        <f t="shared" si="1"/>
        <v>730000</v>
      </c>
    </row>
    <row r="47" spans="1:16" ht="17.100000000000001" customHeight="1" x14ac:dyDescent="0.2">
      <c r="A47" s="446" t="str">
        <f t="shared" si="2"/>
        <v>174242-3-142</v>
      </c>
      <c r="B47" s="465">
        <v>174242</v>
      </c>
      <c r="C47" s="466">
        <v>3</v>
      </c>
      <c r="D47" s="467" t="s">
        <v>8</v>
      </c>
      <c r="E47" s="466">
        <v>142</v>
      </c>
      <c r="F47" s="475">
        <v>1490000</v>
      </c>
      <c r="G47" s="475">
        <v>0</v>
      </c>
      <c r="H47" s="475">
        <v>1490000</v>
      </c>
      <c r="I47" s="475">
        <v>2050000</v>
      </c>
      <c r="J47" s="475">
        <v>3540000</v>
      </c>
      <c r="K47" s="475">
        <v>0</v>
      </c>
      <c r="L47" s="475">
        <v>3540000</v>
      </c>
      <c r="M47" s="475">
        <v>128947.94</v>
      </c>
      <c r="N47" s="475">
        <v>128947.94</v>
      </c>
      <c r="O47" s="475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469">
        <v>174242</v>
      </c>
      <c r="C48" s="470">
        <v>4</v>
      </c>
      <c r="D48" s="471" t="s">
        <v>7</v>
      </c>
      <c r="E48" s="470">
        <v>142</v>
      </c>
      <c r="F48" s="476">
        <v>1700000</v>
      </c>
      <c r="G48" s="476">
        <v>0</v>
      </c>
      <c r="H48" s="476">
        <v>1700000</v>
      </c>
      <c r="I48" s="476">
        <v>0</v>
      </c>
      <c r="J48" s="476">
        <v>1700000</v>
      </c>
      <c r="K48" s="476">
        <v>0</v>
      </c>
      <c r="L48" s="476">
        <v>1700000</v>
      </c>
      <c r="M48" s="476">
        <v>290879.71000000002</v>
      </c>
      <c r="N48" s="476">
        <v>0</v>
      </c>
      <c r="O48" s="476">
        <v>290879.71000000002</v>
      </c>
      <c r="P48" s="448">
        <f t="shared" si="1"/>
        <v>1409120.29</v>
      </c>
    </row>
    <row r="49" spans="1:17" ht="17.100000000000001" customHeight="1" x14ac:dyDescent="0.2">
      <c r="A49" s="446" t="str">
        <f t="shared" si="2"/>
        <v>174243-3-142</v>
      </c>
      <c r="B49" s="465">
        <v>174243</v>
      </c>
      <c r="C49" s="466">
        <v>3</v>
      </c>
      <c r="D49" s="467" t="s">
        <v>8</v>
      </c>
      <c r="E49" s="466">
        <v>142</v>
      </c>
      <c r="F49" s="475">
        <v>200000</v>
      </c>
      <c r="G49" s="475">
        <v>0</v>
      </c>
      <c r="H49" s="475">
        <v>200000</v>
      </c>
      <c r="I49" s="475">
        <v>0</v>
      </c>
      <c r="J49" s="475">
        <v>200000</v>
      </c>
      <c r="K49" s="475">
        <v>0</v>
      </c>
      <c r="L49" s="475">
        <v>200000</v>
      </c>
      <c r="M49" s="475">
        <v>26840.94</v>
      </c>
      <c r="N49" s="475">
        <v>26840.94</v>
      </c>
      <c r="O49" s="475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469">
        <v>174244</v>
      </c>
      <c r="C50" s="470">
        <v>3</v>
      </c>
      <c r="D50" s="471" t="s">
        <v>8</v>
      </c>
      <c r="E50" s="470">
        <v>142</v>
      </c>
      <c r="F50" s="476">
        <v>200000</v>
      </c>
      <c r="G50" s="476">
        <v>0</v>
      </c>
      <c r="H50" s="476">
        <v>200000</v>
      </c>
      <c r="I50" s="476">
        <v>0</v>
      </c>
      <c r="J50" s="476">
        <v>200000</v>
      </c>
      <c r="K50" s="476">
        <v>0</v>
      </c>
      <c r="L50" s="476">
        <v>200000</v>
      </c>
      <c r="M50" s="476">
        <v>4988.5199999999904</v>
      </c>
      <c r="N50" s="476">
        <v>4988.5200000000004</v>
      </c>
      <c r="O50" s="476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465">
        <v>174245</v>
      </c>
      <c r="C51" s="466">
        <v>3</v>
      </c>
      <c r="D51" s="467" t="s">
        <v>8</v>
      </c>
      <c r="E51" s="466">
        <v>142</v>
      </c>
      <c r="F51" s="475">
        <v>3539578</v>
      </c>
      <c r="G51" s="475">
        <v>0</v>
      </c>
      <c r="H51" s="475">
        <v>3539578</v>
      </c>
      <c r="I51" s="475">
        <v>0</v>
      </c>
      <c r="J51" s="475">
        <v>3539578</v>
      </c>
      <c r="K51" s="475">
        <v>0</v>
      </c>
      <c r="L51" s="475">
        <v>3539578</v>
      </c>
      <c r="M51" s="475">
        <v>2967.1000000000899</v>
      </c>
      <c r="N51" s="475">
        <v>2967.1</v>
      </c>
      <c r="O51" s="475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469">
        <v>174245</v>
      </c>
      <c r="C52" s="470">
        <v>4</v>
      </c>
      <c r="D52" s="471" t="s">
        <v>7</v>
      </c>
      <c r="E52" s="470">
        <v>142</v>
      </c>
      <c r="F52" s="476">
        <v>2460422</v>
      </c>
      <c r="G52" s="476">
        <v>0</v>
      </c>
      <c r="H52" s="476">
        <v>2460422</v>
      </c>
      <c r="I52" s="476">
        <v>0</v>
      </c>
      <c r="J52" s="476">
        <v>2460422</v>
      </c>
      <c r="K52" s="476">
        <v>0</v>
      </c>
      <c r="L52" s="476">
        <v>2460422</v>
      </c>
      <c r="M52" s="476">
        <v>17590.339999999898</v>
      </c>
      <c r="N52" s="476">
        <v>17590.34</v>
      </c>
      <c r="O52" s="476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465">
        <v>174246</v>
      </c>
      <c r="C53" s="466">
        <v>3</v>
      </c>
      <c r="D53" s="467" t="s">
        <v>8</v>
      </c>
      <c r="E53" s="466">
        <v>142</v>
      </c>
      <c r="F53" s="475">
        <v>300000</v>
      </c>
      <c r="G53" s="475">
        <v>0</v>
      </c>
      <c r="H53" s="475">
        <v>300000</v>
      </c>
      <c r="I53" s="475">
        <v>-50000</v>
      </c>
      <c r="J53" s="475">
        <v>250000</v>
      </c>
      <c r="K53" s="475">
        <v>0</v>
      </c>
      <c r="L53" s="475">
        <v>250000</v>
      </c>
      <c r="M53" s="475">
        <v>878.98000000001002</v>
      </c>
      <c r="N53" s="475">
        <v>878.98</v>
      </c>
      <c r="O53" s="475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469">
        <v>174247</v>
      </c>
      <c r="C54" s="470">
        <v>3</v>
      </c>
      <c r="D54" s="471" t="s">
        <v>8</v>
      </c>
      <c r="E54" s="470">
        <v>142</v>
      </c>
      <c r="F54" s="476">
        <v>275000</v>
      </c>
      <c r="G54" s="476">
        <v>0</v>
      </c>
      <c r="H54" s="476">
        <v>275000</v>
      </c>
      <c r="I54" s="476">
        <v>-50000</v>
      </c>
      <c r="J54" s="476">
        <v>225000</v>
      </c>
      <c r="K54" s="476">
        <v>0</v>
      </c>
      <c r="L54" s="476">
        <v>225000</v>
      </c>
      <c r="M54" s="476">
        <v>58741.23</v>
      </c>
      <c r="N54" s="476">
        <v>58741.23</v>
      </c>
      <c r="O54" s="476">
        <v>0</v>
      </c>
      <c r="P54" s="448">
        <f t="shared" si="1"/>
        <v>225000</v>
      </c>
    </row>
    <row r="55" spans="1:17" ht="17.100000000000001" customHeight="1" x14ac:dyDescent="0.2">
      <c r="A55" s="446" t="str">
        <f t="shared" si="2"/>
        <v>174248-3-142</v>
      </c>
      <c r="B55" s="465">
        <v>174248</v>
      </c>
      <c r="C55" s="466">
        <v>3</v>
      </c>
      <c r="D55" s="467" t="s">
        <v>8</v>
      </c>
      <c r="E55" s="466">
        <v>142</v>
      </c>
      <c r="F55" s="475">
        <v>2365000</v>
      </c>
      <c r="G55" s="475">
        <v>0</v>
      </c>
      <c r="H55" s="475">
        <v>2365000</v>
      </c>
      <c r="I55" s="475">
        <v>0</v>
      </c>
      <c r="J55" s="475">
        <v>2365000</v>
      </c>
      <c r="K55" s="475">
        <v>0</v>
      </c>
      <c r="L55" s="475">
        <v>2365000</v>
      </c>
      <c r="M55" s="475">
        <v>2365000</v>
      </c>
      <c r="N55" s="475">
        <v>2365000</v>
      </c>
      <c r="O55" s="475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469">
        <v>174249</v>
      </c>
      <c r="C56" s="470">
        <v>3</v>
      </c>
      <c r="D56" s="471" t="s">
        <v>8</v>
      </c>
      <c r="E56" s="470">
        <v>142</v>
      </c>
      <c r="F56" s="476">
        <v>900000</v>
      </c>
      <c r="G56" s="476">
        <v>0</v>
      </c>
      <c r="H56" s="476">
        <v>900000</v>
      </c>
      <c r="I56" s="476">
        <v>-400000</v>
      </c>
      <c r="J56" s="476">
        <v>500000</v>
      </c>
      <c r="K56" s="476">
        <v>0</v>
      </c>
      <c r="L56" s="476">
        <v>500000</v>
      </c>
      <c r="M56" s="476">
        <v>32955.42</v>
      </c>
      <c r="N56" s="476">
        <v>32955.42</v>
      </c>
      <c r="O56" s="476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465">
        <v>174249</v>
      </c>
      <c r="C57" s="466">
        <v>4</v>
      </c>
      <c r="D57" s="467" t="s">
        <v>7</v>
      </c>
      <c r="E57" s="466">
        <v>142</v>
      </c>
      <c r="F57" s="475">
        <v>300000</v>
      </c>
      <c r="G57" s="475">
        <v>0</v>
      </c>
      <c r="H57" s="475">
        <v>300000</v>
      </c>
      <c r="I57" s="475">
        <v>0</v>
      </c>
      <c r="J57" s="475">
        <v>300000</v>
      </c>
      <c r="K57" s="475">
        <v>0</v>
      </c>
      <c r="L57" s="475">
        <v>300000</v>
      </c>
      <c r="M57" s="475">
        <v>280</v>
      </c>
      <c r="N57" s="475">
        <v>0</v>
      </c>
      <c r="O57" s="475">
        <v>280</v>
      </c>
      <c r="P57" s="449">
        <f>+L57-O57</f>
        <v>299720</v>
      </c>
    </row>
    <row r="58" spans="1:17" ht="17.100000000000001" customHeight="1" x14ac:dyDescent="0.2">
      <c r="A58" s="446" t="str">
        <f t="shared" si="2"/>
        <v>174250-3-142</v>
      </c>
      <c r="B58" s="469">
        <v>174250</v>
      </c>
      <c r="C58" s="470">
        <v>3</v>
      </c>
      <c r="D58" s="471" t="s">
        <v>8</v>
      </c>
      <c r="E58" s="470">
        <v>142</v>
      </c>
      <c r="F58" s="476">
        <v>1579000</v>
      </c>
      <c r="G58" s="476">
        <v>0</v>
      </c>
      <c r="H58" s="476">
        <v>1579000</v>
      </c>
      <c r="I58" s="476">
        <v>0</v>
      </c>
      <c r="J58" s="476">
        <v>1579000</v>
      </c>
      <c r="K58" s="476">
        <v>0</v>
      </c>
      <c r="L58" s="476">
        <v>1579000</v>
      </c>
      <c r="M58" s="476">
        <v>7666.1000000000904</v>
      </c>
      <c r="N58" s="476">
        <v>7666.1</v>
      </c>
      <c r="O58" s="476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465">
        <v>174250</v>
      </c>
      <c r="C59" s="466">
        <v>4</v>
      </c>
      <c r="D59" s="467" t="s">
        <v>7</v>
      </c>
      <c r="E59" s="466">
        <v>142</v>
      </c>
      <c r="F59" s="475">
        <v>800000</v>
      </c>
      <c r="G59" s="475">
        <v>0</v>
      </c>
      <c r="H59" s="475">
        <v>800000</v>
      </c>
      <c r="I59" s="475">
        <v>-353445</v>
      </c>
      <c r="J59" s="475">
        <v>446555</v>
      </c>
      <c r="K59" s="475">
        <v>0</v>
      </c>
      <c r="L59" s="475">
        <v>446555</v>
      </c>
      <c r="M59" s="475">
        <v>1156</v>
      </c>
      <c r="N59" s="475">
        <v>1156</v>
      </c>
      <c r="O59" s="475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469">
        <v>174251</v>
      </c>
      <c r="C60" s="470">
        <v>3</v>
      </c>
      <c r="D60" s="471" t="s">
        <v>8</v>
      </c>
      <c r="E60" s="470">
        <v>142</v>
      </c>
      <c r="F60" s="476">
        <v>200000</v>
      </c>
      <c r="G60" s="476">
        <v>0</v>
      </c>
      <c r="H60" s="476">
        <v>200000</v>
      </c>
      <c r="I60" s="476">
        <v>-200000</v>
      </c>
      <c r="J60" s="476">
        <v>0</v>
      </c>
      <c r="K60" s="476">
        <v>0</v>
      </c>
      <c r="L60" s="476">
        <v>0</v>
      </c>
      <c r="M60" s="476">
        <v>0</v>
      </c>
      <c r="N60" s="476">
        <v>0</v>
      </c>
      <c r="O60" s="476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465">
        <v>174252</v>
      </c>
      <c r="C61" s="466">
        <v>3</v>
      </c>
      <c r="D61" s="467" t="s">
        <v>8</v>
      </c>
      <c r="E61" s="466">
        <v>142</v>
      </c>
      <c r="F61" s="475">
        <v>3400000</v>
      </c>
      <c r="G61" s="475">
        <v>0</v>
      </c>
      <c r="H61" s="475">
        <v>3400000</v>
      </c>
      <c r="I61" s="475">
        <v>-1250000</v>
      </c>
      <c r="J61" s="475">
        <v>2150000</v>
      </c>
      <c r="K61" s="475">
        <v>0</v>
      </c>
      <c r="L61" s="475">
        <v>2150000</v>
      </c>
      <c r="M61" s="475">
        <v>272208.15999999997</v>
      </c>
      <c r="N61" s="475">
        <v>22208.16</v>
      </c>
      <c r="O61" s="475">
        <v>250000</v>
      </c>
      <c r="P61" s="449">
        <f>+L61-O61</f>
        <v>1900000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469">
        <v>174253</v>
      </c>
      <c r="C62" s="470">
        <v>3</v>
      </c>
      <c r="D62" s="471" t="s">
        <v>8</v>
      </c>
      <c r="E62" s="470">
        <v>142</v>
      </c>
      <c r="F62" s="476">
        <v>350000</v>
      </c>
      <c r="G62" s="476">
        <v>0</v>
      </c>
      <c r="H62" s="476">
        <v>350000</v>
      </c>
      <c r="I62" s="476">
        <v>-44037</v>
      </c>
      <c r="J62" s="476">
        <v>305963</v>
      </c>
      <c r="K62" s="476">
        <v>0</v>
      </c>
      <c r="L62" s="476">
        <v>305963</v>
      </c>
      <c r="M62" s="476">
        <v>74163.350000000006</v>
      </c>
      <c r="N62" s="476">
        <v>74163.350000000006</v>
      </c>
      <c r="O62" s="476">
        <v>0</v>
      </c>
      <c r="P62" s="448">
        <f t="shared" si="1"/>
        <v>305963</v>
      </c>
    </row>
    <row r="63" spans="1:17" ht="17.100000000000001" customHeight="1" x14ac:dyDescent="0.2">
      <c r="A63" s="446" t="str">
        <f t="shared" si="3"/>
        <v>174254-3-142</v>
      </c>
      <c r="B63" s="465">
        <v>174254</v>
      </c>
      <c r="C63" s="466">
        <v>3</v>
      </c>
      <c r="D63" s="467" t="s">
        <v>8</v>
      </c>
      <c r="E63" s="466">
        <v>142</v>
      </c>
      <c r="F63" s="475">
        <v>980000</v>
      </c>
      <c r="G63" s="475">
        <v>0</v>
      </c>
      <c r="H63" s="475">
        <v>980000</v>
      </c>
      <c r="I63" s="475">
        <v>-153000</v>
      </c>
      <c r="J63" s="475">
        <v>827000</v>
      </c>
      <c r="K63" s="475">
        <v>0</v>
      </c>
      <c r="L63" s="475">
        <v>827000</v>
      </c>
      <c r="M63" s="475">
        <v>85069.79</v>
      </c>
      <c r="N63" s="475">
        <v>85069.79</v>
      </c>
      <c r="O63" s="475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469">
        <v>174255</v>
      </c>
      <c r="C64" s="470">
        <v>3</v>
      </c>
      <c r="D64" s="471" t="s">
        <v>8</v>
      </c>
      <c r="E64" s="470">
        <v>142</v>
      </c>
      <c r="F64" s="476">
        <v>421000</v>
      </c>
      <c r="G64" s="476">
        <v>0</v>
      </c>
      <c r="H64" s="476">
        <v>421000</v>
      </c>
      <c r="I64" s="476">
        <v>0</v>
      </c>
      <c r="J64" s="476">
        <v>421000</v>
      </c>
      <c r="K64" s="476">
        <v>0</v>
      </c>
      <c r="L64" s="476">
        <v>421000</v>
      </c>
      <c r="M64" s="476">
        <v>0</v>
      </c>
      <c r="N64" s="476">
        <v>0</v>
      </c>
      <c r="O64" s="476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465">
        <v>174256</v>
      </c>
      <c r="C65" s="466">
        <v>3</v>
      </c>
      <c r="D65" s="467" t="s">
        <v>8</v>
      </c>
      <c r="E65" s="466">
        <v>142</v>
      </c>
      <c r="F65" s="475">
        <v>300000</v>
      </c>
      <c r="G65" s="475">
        <v>0</v>
      </c>
      <c r="H65" s="475">
        <v>300000</v>
      </c>
      <c r="I65" s="475">
        <v>0</v>
      </c>
      <c r="J65" s="475">
        <v>300000</v>
      </c>
      <c r="K65" s="475">
        <v>0</v>
      </c>
      <c r="L65" s="475">
        <v>300000</v>
      </c>
      <c r="M65" s="475">
        <v>1953.01000000001</v>
      </c>
      <c r="N65" s="475">
        <v>1953.01</v>
      </c>
      <c r="O65" s="475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469">
        <v>174257</v>
      </c>
      <c r="C66" s="470">
        <v>3</v>
      </c>
      <c r="D66" s="471" t="s">
        <v>8</v>
      </c>
      <c r="E66" s="470">
        <v>142</v>
      </c>
      <c r="F66" s="476">
        <v>3913610</v>
      </c>
      <c r="G66" s="476">
        <v>0</v>
      </c>
      <c r="H66" s="476">
        <v>3913610</v>
      </c>
      <c r="I66" s="476">
        <v>0</v>
      </c>
      <c r="J66" s="476">
        <v>3913610</v>
      </c>
      <c r="K66" s="476">
        <v>0</v>
      </c>
      <c r="L66" s="476">
        <v>3913610</v>
      </c>
      <c r="M66" s="476">
        <v>359061.19</v>
      </c>
      <c r="N66" s="476">
        <v>127061.19</v>
      </c>
      <c r="O66" s="476">
        <v>232000</v>
      </c>
      <c r="P66" s="448">
        <f t="shared" si="1"/>
        <v>3681610</v>
      </c>
    </row>
    <row r="67" spans="1:16" ht="17.100000000000001" customHeight="1" x14ac:dyDescent="0.2">
      <c r="A67" s="446" t="str">
        <f t="shared" si="3"/>
        <v>174257-4-142</v>
      </c>
      <c r="B67" s="465">
        <v>174257</v>
      </c>
      <c r="C67" s="466">
        <v>4</v>
      </c>
      <c r="D67" s="467" t="s">
        <v>7</v>
      </c>
      <c r="E67" s="466">
        <v>142</v>
      </c>
      <c r="F67" s="475">
        <v>197500</v>
      </c>
      <c r="G67" s="475">
        <v>0</v>
      </c>
      <c r="H67" s="475">
        <v>197500</v>
      </c>
      <c r="I67" s="475">
        <v>0</v>
      </c>
      <c r="J67" s="475">
        <v>197500</v>
      </c>
      <c r="K67" s="475">
        <v>0</v>
      </c>
      <c r="L67" s="475">
        <v>197500</v>
      </c>
      <c r="M67" s="475">
        <v>7500</v>
      </c>
      <c r="N67" s="475">
        <v>7500</v>
      </c>
      <c r="O67" s="475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469">
        <v>174258</v>
      </c>
      <c r="C68" s="470">
        <v>3</v>
      </c>
      <c r="D68" s="471" t="s">
        <v>8</v>
      </c>
      <c r="E68" s="470">
        <v>142</v>
      </c>
      <c r="F68" s="476">
        <v>1800000</v>
      </c>
      <c r="G68" s="476">
        <v>0</v>
      </c>
      <c r="H68" s="476">
        <v>1800000</v>
      </c>
      <c r="I68" s="476">
        <v>-305000</v>
      </c>
      <c r="J68" s="476">
        <v>1495000</v>
      </c>
      <c r="K68" s="476">
        <v>0</v>
      </c>
      <c r="L68" s="476">
        <v>1495000</v>
      </c>
      <c r="M68" s="476">
        <v>12414.4299999999</v>
      </c>
      <c r="N68" s="476">
        <v>12414.43</v>
      </c>
      <c r="O68" s="476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465">
        <v>174258</v>
      </c>
      <c r="C69" s="466">
        <v>4</v>
      </c>
      <c r="D69" s="467" t="s">
        <v>7</v>
      </c>
      <c r="E69" s="466">
        <v>142</v>
      </c>
      <c r="F69" s="475">
        <v>1400000</v>
      </c>
      <c r="G69" s="475">
        <v>0</v>
      </c>
      <c r="H69" s="475">
        <v>1400000</v>
      </c>
      <c r="I69" s="475">
        <v>-639075</v>
      </c>
      <c r="J69" s="475">
        <v>760925</v>
      </c>
      <c r="K69" s="475">
        <v>0</v>
      </c>
      <c r="L69" s="475">
        <v>760925</v>
      </c>
      <c r="M69" s="475">
        <v>0</v>
      </c>
      <c r="N69" s="475">
        <v>0</v>
      </c>
      <c r="O69" s="475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469">
        <v>174259</v>
      </c>
      <c r="C70" s="470">
        <v>3</v>
      </c>
      <c r="D70" s="471" t="s">
        <v>8</v>
      </c>
      <c r="E70" s="470">
        <v>142</v>
      </c>
      <c r="F70" s="476">
        <v>150000</v>
      </c>
      <c r="G70" s="476">
        <v>0</v>
      </c>
      <c r="H70" s="476">
        <v>150000</v>
      </c>
      <c r="I70" s="476">
        <v>35000</v>
      </c>
      <c r="J70" s="476">
        <v>185000</v>
      </c>
      <c r="K70" s="476">
        <v>0</v>
      </c>
      <c r="L70" s="476">
        <v>185000</v>
      </c>
      <c r="M70" s="476">
        <v>23893.68</v>
      </c>
      <c r="N70" s="476">
        <v>23893.68</v>
      </c>
      <c r="O70" s="476"/>
      <c r="P70" s="448">
        <f t="shared" si="1"/>
        <v>185000</v>
      </c>
    </row>
    <row r="71" spans="1:16" ht="17.100000000000001" customHeight="1" x14ac:dyDescent="0.2">
      <c r="A71" s="446" t="str">
        <f t="shared" si="3"/>
        <v>174260-3-142</v>
      </c>
      <c r="B71" s="465">
        <v>174260</v>
      </c>
      <c r="C71" s="466">
        <v>3</v>
      </c>
      <c r="D71" s="467" t="s">
        <v>8</v>
      </c>
      <c r="E71" s="466">
        <v>142</v>
      </c>
      <c r="F71" s="475">
        <v>1685000</v>
      </c>
      <c r="G71" s="475">
        <v>0</v>
      </c>
      <c r="H71" s="475">
        <v>1685000</v>
      </c>
      <c r="I71" s="475">
        <v>-107000</v>
      </c>
      <c r="J71" s="475">
        <v>1578000</v>
      </c>
      <c r="K71" s="475">
        <v>0</v>
      </c>
      <c r="L71" s="475">
        <v>1578000</v>
      </c>
      <c r="M71" s="475">
        <v>20693</v>
      </c>
      <c r="N71" s="475">
        <v>20693</v>
      </c>
      <c r="O71" s="475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469">
        <v>174261</v>
      </c>
      <c r="C72" s="470">
        <v>3</v>
      </c>
      <c r="D72" s="471" t="s">
        <v>8</v>
      </c>
      <c r="E72" s="470">
        <v>142</v>
      </c>
      <c r="F72" s="476">
        <v>16000000</v>
      </c>
      <c r="G72" s="476">
        <v>0</v>
      </c>
      <c r="H72" s="476">
        <v>16000000</v>
      </c>
      <c r="I72" s="476">
        <v>-1100000</v>
      </c>
      <c r="J72" s="476">
        <v>14900000</v>
      </c>
      <c r="K72" s="476">
        <v>0</v>
      </c>
      <c r="L72" s="476">
        <v>14900000</v>
      </c>
      <c r="M72" s="476">
        <v>4111695.29</v>
      </c>
      <c r="N72" s="476">
        <v>1695.29</v>
      </c>
      <c r="O72" s="476">
        <v>4110000</v>
      </c>
      <c r="P72" s="448">
        <f t="shared" si="1"/>
        <v>10790000</v>
      </c>
    </row>
    <row r="73" spans="1:16" ht="17.100000000000001" customHeight="1" x14ac:dyDescent="0.2">
      <c r="A73" s="446" t="str">
        <f t="shared" si="3"/>
        <v>174262-3-142</v>
      </c>
      <c r="B73" s="465">
        <v>174262</v>
      </c>
      <c r="C73" s="466">
        <v>3</v>
      </c>
      <c r="D73" s="467" t="s">
        <v>8</v>
      </c>
      <c r="E73" s="466">
        <v>142</v>
      </c>
      <c r="F73" s="475">
        <v>2126000</v>
      </c>
      <c r="G73" s="475">
        <v>0</v>
      </c>
      <c r="H73" s="475">
        <v>2126000</v>
      </c>
      <c r="I73" s="475">
        <v>0</v>
      </c>
      <c r="J73" s="475">
        <v>2126000</v>
      </c>
      <c r="K73" s="475">
        <v>0</v>
      </c>
      <c r="L73" s="475">
        <v>2126000</v>
      </c>
      <c r="M73" s="475">
        <v>38178.800000000003</v>
      </c>
      <c r="N73" s="475">
        <v>38178.800000000003</v>
      </c>
      <c r="O73" s="475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469">
        <v>174262</v>
      </c>
      <c r="C74" s="470">
        <v>4</v>
      </c>
      <c r="D74" s="471" t="s">
        <v>7</v>
      </c>
      <c r="E74" s="470">
        <v>142</v>
      </c>
      <c r="F74" s="476">
        <v>495000</v>
      </c>
      <c r="G74" s="476">
        <v>0</v>
      </c>
      <c r="H74" s="476">
        <v>495000</v>
      </c>
      <c r="I74" s="476">
        <v>0</v>
      </c>
      <c r="J74" s="476">
        <v>495000</v>
      </c>
      <c r="K74" s="476">
        <v>0</v>
      </c>
      <c r="L74" s="476">
        <v>495000</v>
      </c>
      <c r="M74" s="476">
        <v>5711.2000000000098</v>
      </c>
      <c r="N74" s="476">
        <v>5711.2</v>
      </c>
      <c r="O74" s="476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465">
        <v>174263</v>
      </c>
      <c r="C75" s="466">
        <v>3</v>
      </c>
      <c r="D75" s="467" t="s">
        <v>8</v>
      </c>
      <c r="E75" s="466">
        <v>142</v>
      </c>
      <c r="F75" s="475">
        <v>700000</v>
      </c>
      <c r="G75" s="475">
        <v>0</v>
      </c>
      <c r="H75" s="475">
        <v>700000</v>
      </c>
      <c r="I75" s="475">
        <v>-45000</v>
      </c>
      <c r="J75" s="475">
        <v>655000</v>
      </c>
      <c r="K75" s="475">
        <v>0</v>
      </c>
      <c r="L75" s="475">
        <v>655000</v>
      </c>
      <c r="M75" s="475">
        <v>17311.55</v>
      </c>
      <c r="N75" s="475">
        <v>17311.55</v>
      </c>
      <c r="O75" s="475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469">
        <v>174263</v>
      </c>
      <c r="C76" s="470">
        <v>4</v>
      </c>
      <c r="D76" s="471" t="s">
        <v>7</v>
      </c>
      <c r="E76" s="470">
        <v>142</v>
      </c>
      <c r="F76" s="476">
        <v>100000</v>
      </c>
      <c r="G76" s="476">
        <v>0</v>
      </c>
      <c r="H76" s="476">
        <v>100000</v>
      </c>
      <c r="I76" s="476">
        <v>400000</v>
      </c>
      <c r="J76" s="476">
        <v>500000</v>
      </c>
      <c r="K76" s="476">
        <v>0</v>
      </c>
      <c r="L76" s="476">
        <v>500000</v>
      </c>
      <c r="M76" s="476">
        <v>73594</v>
      </c>
      <c r="N76" s="476">
        <v>73594</v>
      </c>
      <c r="O76" s="476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465">
        <v>174264</v>
      </c>
      <c r="C77" s="466">
        <v>3</v>
      </c>
      <c r="D77" s="467" t="s">
        <v>8</v>
      </c>
      <c r="E77" s="466">
        <v>142</v>
      </c>
      <c r="F77" s="475">
        <v>3500000</v>
      </c>
      <c r="G77" s="475">
        <v>0</v>
      </c>
      <c r="H77" s="475">
        <v>3500000</v>
      </c>
      <c r="I77" s="475">
        <v>-200000</v>
      </c>
      <c r="J77" s="475">
        <v>3300000</v>
      </c>
      <c r="K77" s="475">
        <v>0</v>
      </c>
      <c r="L77" s="475">
        <v>3300000</v>
      </c>
      <c r="M77" s="475">
        <v>15273.700000000201</v>
      </c>
      <c r="N77" s="475">
        <v>15273.7</v>
      </c>
      <c r="O77" s="475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469">
        <v>174264</v>
      </c>
      <c r="C78" s="470">
        <v>4</v>
      </c>
      <c r="D78" s="471" t="s">
        <v>7</v>
      </c>
      <c r="E78" s="470">
        <v>142</v>
      </c>
      <c r="F78" s="476">
        <v>1400000</v>
      </c>
      <c r="G78" s="476">
        <v>0</v>
      </c>
      <c r="H78" s="476">
        <v>1400000</v>
      </c>
      <c r="I78" s="476">
        <v>-483611</v>
      </c>
      <c r="J78" s="476">
        <v>916389</v>
      </c>
      <c r="K78" s="476">
        <v>0</v>
      </c>
      <c r="L78" s="476">
        <v>916389</v>
      </c>
      <c r="M78" s="476">
        <v>24246.75</v>
      </c>
      <c r="N78" s="476">
        <v>24246.75</v>
      </c>
      <c r="O78" s="476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465">
        <v>174265</v>
      </c>
      <c r="C79" s="466">
        <v>3</v>
      </c>
      <c r="D79" s="467" t="s">
        <v>8</v>
      </c>
      <c r="E79" s="466">
        <v>142</v>
      </c>
      <c r="F79" s="475">
        <v>695000</v>
      </c>
      <c r="G79" s="475">
        <v>0</v>
      </c>
      <c r="H79" s="475">
        <v>695000</v>
      </c>
      <c r="I79" s="475">
        <v>-292000</v>
      </c>
      <c r="J79" s="475">
        <v>403000</v>
      </c>
      <c r="K79" s="475">
        <v>0</v>
      </c>
      <c r="L79" s="475">
        <v>403000</v>
      </c>
      <c r="M79" s="475">
        <v>48800.09</v>
      </c>
      <c r="N79" s="475">
        <v>48800.09</v>
      </c>
      <c r="O79" s="475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469">
        <v>174266</v>
      </c>
      <c r="C80" s="470">
        <v>3</v>
      </c>
      <c r="D80" s="471" t="s">
        <v>8</v>
      </c>
      <c r="E80" s="470">
        <v>142</v>
      </c>
      <c r="F80" s="476">
        <v>400000</v>
      </c>
      <c r="G80" s="476">
        <v>0</v>
      </c>
      <c r="H80" s="476">
        <v>400000</v>
      </c>
      <c r="I80" s="476">
        <v>-400000</v>
      </c>
      <c r="J80" s="476">
        <v>0</v>
      </c>
      <c r="K80" s="476">
        <v>0</v>
      </c>
      <c r="L80" s="476">
        <v>0</v>
      </c>
      <c r="M80" s="476">
        <v>0</v>
      </c>
      <c r="N80" s="476">
        <v>0</v>
      </c>
      <c r="O80" s="476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465">
        <v>174267</v>
      </c>
      <c r="C81" s="466">
        <v>3</v>
      </c>
      <c r="D81" s="467" t="s">
        <v>8</v>
      </c>
      <c r="E81" s="466">
        <v>142</v>
      </c>
      <c r="F81" s="475">
        <v>2007890</v>
      </c>
      <c r="G81" s="475">
        <v>0</v>
      </c>
      <c r="H81" s="475">
        <v>2007890</v>
      </c>
      <c r="I81" s="475">
        <v>-465725</v>
      </c>
      <c r="J81" s="475">
        <v>1542165</v>
      </c>
      <c r="K81" s="475">
        <v>0</v>
      </c>
      <c r="L81" s="475">
        <v>1542165</v>
      </c>
      <c r="M81" s="475">
        <v>28231.53</v>
      </c>
      <c r="N81" s="475">
        <v>28231.53</v>
      </c>
      <c r="O81" s="475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469">
        <v>174267</v>
      </c>
      <c r="C82" s="470">
        <v>4</v>
      </c>
      <c r="D82" s="471" t="s">
        <v>7</v>
      </c>
      <c r="E82" s="470">
        <v>142</v>
      </c>
      <c r="F82" s="476">
        <v>110000</v>
      </c>
      <c r="G82" s="476">
        <v>0</v>
      </c>
      <c r="H82" s="476">
        <v>110000</v>
      </c>
      <c r="I82" s="476">
        <v>0</v>
      </c>
      <c r="J82" s="476">
        <v>110000</v>
      </c>
      <c r="K82" s="476">
        <v>0</v>
      </c>
      <c r="L82" s="476">
        <v>110000</v>
      </c>
      <c r="M82" s="476">
        <v>0</v>
      </c>
      <c r="N82" s="476">
        <v>0</v>
      </c>
      <c r="O82" s="476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465">
        <v>174268</v>
      </c>
      <c r="C83" s="466">
        <v>3</v>
      </c>
      <c r="D83" s="467" t="s">
        <v>8</v>
      </c>
      <c r="E83" s="466">
        <v>142</v>
      </c>
      <c r="F83" s="475">
        <v>800000</v>
      </c>
      <c r="G83" s="475">
        <v>0</v>
      </c>
      <c r="H83" s="475">
        <v>800000</v>
      </c>
      <c r="I83" s="475">
        <v>-100000</v>
      </c>
      <c r="J83" s="475">
        <v>700000</v>
      </c>
      <c r="K83" s="475">
        <v>0</v>
      </c>
      <c r="L83" s="475">
        <v>700000</v>
      </c>
      <c r="M83" s="475">
        <v>0</v>
      </c>
      <c r="N83" s="475">
        <v>0</v>
      </c>
      <c r="O83" s="475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469">
        <v>174268</v>
      </c>
      <c r="C84" s="470">
        <v>4</v>
      </c>
      <c r="D84" s="471" t="s">
        <v>7</v>
      </c>
      <c r="E84" s="470">
        <v>142</v>
      </c>
      <c r="F84" s="476">
        <v>100000</v>
      </c>
      <c r="G84" s="476">
        <v>0</v>
      </c>
      <c r="H84" s="476">
        <v>100000</v>
      </c>
      <c r="I84" s="476">
        <v>0</v>
      </c>
      <c r="J84" s="476">
        <v>100000</v>
      </c>
      <c r="K84" s="476">
        <v>0</v>
      </c>
      <c r="L84" s="476">
        <v>100000</v>
      </c>
      <c r="M84" s="476">
        <v>84185.1</v>
      </c>
      <c r="N84" s="476">
        <v>84185.1</v>
      </c>
      <c r="O84" s="476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465">
        <v>174269</v>
      </c>
      <c r="C85" s="466">
        <v>3</v>
      </c>
      <c r="D85" s="467" t="s">
        <v>8</v>
      </c>
      <c r="E85" s="466">
        <v>142</v>
      </c>
      <c r="F85" s="475">
        <v>5000000</v>
      </c>
      <c r="G85" s="475">
        <v>0</v>
      </c>
      <c r="H85" s="475">
        <v>5000000</v>
      </c>
      <c r="I85" s="475">
        <v>-889327</v>
      </c>
      <c r="J85" s="475">
        <v>4110673</v>
      </c>
      <c r="K85" s="475">
        <v>0</v>
      </c>
      <c r="L85" s="475">
        <v>4110673</v>
      </c>
      <c r="M85" s="475">
        <v>56465.069999999803</v>
      </c>
      <c r="N85" s="475">
        <v>56465.07</v>
      </c>
      <c r="O85" s="475">
        <v>0</v>
      </c>
      <c r="P85" s="449">
        <f>+L85-O85</f>
        <v>4110673</v>
      </c>
    </row>
    <row r="86" spans="1:16" ht="17.100000000000001" customHeight="1" x14ac:dyDescent="0.2">
      <c r="A86" s="446" t="str">
        <f t="shared" si="3"/>
        <v>174270-3-142</v>
      </c>
      <c r="B86" s="469">
        <v>174270</v>
      </c>
      <c r="C86" s="470">
        <v>3</v>
      </c>
      <c r="D86" s="471" t="s">
        <v>8</v>
      </c>
      <c r="E86" s="470">
        <v>142</v>
      </c>
      <c r="F86" s="476">
        <v>2950000</v>
      </c>
      <c r="G86" s="476">
        <v>0</v>
      </c>
      <c r="H86" s="476">
        <v>2950000</v>
      </c>
      <c r="I86" s="476">
        <v>-309000</v>
      </c>
      <c r="J86" s="476">
        <v>2641000</v>
      </c>
      <c r="K86" s="476">
        <v>0</v>
      </c>
      <c r="L86" s="476">
        <v>2641000</v>
      </c>
      <c r="M86" s="476">
        <v>4289.0699999998296</v>
      </c>
      <c r="N86" s="476">
        <v>4289.07</v>
      </c>
      <c r="O86" s="476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465">
        <v>174271</v>
      </c>
      <c r="C87" s="466">
        <v>3</v>
      </c>
      <c r="D87" s="467" t="s">
        <v>8</v>
      </c>
      <c r="E87" s="466">
        <v>142</v>
      </c>
      <c r="F87" s="475">
        <v>700000</v>
      </c>
      <c r="G87" s="475">
        <v>0</v>
      </c>
      <c r="H87" s="475">
        <v>700000</v>
      </c>
      <c r="I87" s="475">
        <v>-100000</v>
      </c>
      <c r="J87" s="475">
        <v>600000</v>
      </c>
      <c r="K87" s="475">
        <v>0</v>
      </c>
      <c r="L87" s="475">
        <v>600000</v>
      </c>
      <c r="M87" s="475">
        <v>141222.64000000001</v>
      </c>
      <c r="N87" s="475">
        <v>141222.64000000001</v>
      </c>
      <c r="O87" s="475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469">
        <v>174271</v>
      </c>
      <c r="C88" s="470">
        <v>4</v>
      </c>
      <c r="D88" s="471" t="s">
        <v>7</v>
      </c>
      <c r="E88" s="470">
        <v>142</v>
      </c>
      <c r="F88" s="476">
        <v>100000</v>
      </c>
      <c r="G88" s="476">
        <v>0</v>
      </c>
      <c r="H88" s="476">
        <v>100000</v>
      </c>
      <c r="I88" s="476">
        <v>0</v>
      </c>
      <c r="J88" s="476">
        <v>100000</v>
      </c>
      <c r="K88" s="476">
        <v>0</v>
      </c>
      <c r="L88" s="476">
        <v>100000</v>
      </c>
      <c r="M88" s="476">
        <v>0</v>
      </c>
      <c r="N88" s="476">
        <v>0</v>
      </c>
      <c r="O88" s="476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465">
        <v>174272</v>
      </c>
      <c r="C89" s="466">
        <v>3</v>
      </c>
      <c r="D89" s="467" t="s">
        <v>8</v>
      </c>
      <c r="E89" s="466">
        <v>142</v>
      </c>
      <c r="F89" s="475">
        <v>1000000</v>
      </c>
      <c r="G89" s="475">
        <v>0</v>
      </c>
      <c r="H89" s="475">
        <v>1000000</v>
      </c>
      <c r="I89" s="475">
        <v>-589075</v>
      </c>
      <c r="J89" s="475">
        <v>410925</v>
      </c>
      <c r="K89" s="475">
        <v>0</v>
      </c>
      <c r="L89" s="475">
        <v>410925</v>
      </c>
      <c r="M89" s="475">
        <v>12097.71</v>
      </c>
      <c r="N89" s="475">
        <v>12097.71</v>
      </c>
      <c r="O89" s="475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469">
        <v>174273</v>
      </c>
      <c r="C90" s="470">
        <v>3</v>
      </c>
      <c r="D90" s="471" t="s">
        <v>8</v>
      </c>
      <c r="E90" s="470">
        <v>142</v>
      </c>
      <c r="F90" s="476">
        <v>1000000</v>
      </c>
      <c r="G90" s="476">
        <v>0</v>
      </c>
      <c r="H90" s="476">
        <v>1000000</v>
      </c>
      <c r="I90" s="476">
        <v>0</v>
      </c>
      <c r="J90" s="476">
        <v>1000000</v>
      </c>
      <c r="K90" s="476">
        <v>0</v>
      </c>
      <c r="L90" s="476">
        <v>1000000</v>
      </c>
      <c r="M90" s="476">
        <v>0</v>
      </c>
      <c r="N90" s="476">
        <v>0</v>
      </c>
      <c r="O90" s="476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465">
        <v>195063</v>
      </c>
      <c r="C91" s="466">
        <v>3</v>
      </c>
      <c r="D91" s="467" t="s">
        <v>8</v>
      </c>
      <c r="E91" s="466">
        <v>100</v>
      </c>
      <c r="F91" s="475">
        <v>1949502</v>
      </c>
      <c r="G91" s="475">
        <v>0</v>
      </c>
      <c r="H91" s="475">
        <v>1949502</v>
      </c>
      <c r="I91" s="475">
        <v>0</v>
      </c>
      <c r="J91" s="475">
        <v>1949502</v>
      </c>
      <c r="K91" s="475">
        <v>0</v>
      </c>
      <c r="L91" s="475">
        <v>1949502</v>
      </c>
      <c r="M91" s="475">
        <v>930693.08</v>
      </c>
      <c r="N91" s="475">
        <v>945902.48</v>
      </c>
      <c r="O91" s="475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469">
        <v>195065</v>
      </c>
      <c r="C92" s="470">
        <v>3</v>
      </c>
      <c r="D92" s="471" t="s">
        <v>8</v>
      </c>
      <c r="E92" s="470">
        <v>100</v>
      </c>
      <c r="F92" s="476">
        <v>233177</v>
      </c>
      <c r="G92" s="476">
        <v>0</v>
      </c>
      <c r="H92" s="476">
        <v>233177</v>
      </c>
      <c r="I92" s="476">
        <v>0</v>
      </c>
      <c r="J92" s="476">
        <v>233177</v>
      </c>
      <c r="K92" s="476">
        <v>0</v>
      </c>
      <c r="L92" s="476">
        <v>233177</v>
      </c>
      <c r="M92" s="476">
        <v>98508.01</v>
      </c>
      <c r="N92" s="476">
        <v>98508.01</v>
      </c>
      <c r="O92" s="476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465">
        <v>195067</v>
      </c>
      <c r="C93" s="466">
        <v>3</v>
      </c>
      <c r="D93" s="467" t="s">
        <v>8</v>
      </c>
      <c r="E93" s="466">
        <v>100</v>
      </c>
      <c r="F93" s="475">
        <v>17628738</v>
      </c>
      <c r="G93" s="475">
        <v>0</v>
      </c>
      <c r="H93" s="475">
        <v>17628738</v>
      </c>
      <c r="I93" s="475">
        <v>0</v>
      </c>
      <c r="J93" s="475">
        <v>17628738</v>
      </c>
      <c r="K93" s="475">
        <v>0</v>
      </c>
      <c r="L93" s="475">
        <v>17628738</v>
      </c>
      <c r="M93" s="475">
        <v>3983331.68</v>
      </c>
      <c r="N93" s="475">
        <v>3983331.68</v>
      </c>
      <c r="O93" s="475"/>
      <c r="P93" s="452">
        <f>+L93-O93</f>
        <v>17628738</v>
      </c>
    </row>
    <row r="94" spans="1:16" ht="17.100000000000001" customHeight="1" x14ac:dyDescent="0.2">
      <c r="A94" s="446" t="str">
        <f t="shared" ref="A94:A98" si="4">CONCATENATE(B94,"-",C94,"-",E94)</f>
        <v>204816-3-181</v>
      </c>
      <c r="B94" s="469">
        <v>204816</v>
      </c>
      <c r="C94" s="470">
        <v>3</v>
      </c>
      <c r="D94" s="471" t="s">
        <v>8</v>
      </c>
      <c r="E94" s="470">
        <v>181</v>
      </c>
      <c r="F94" s="476">
        <v>800000</v>
      </c>
      <c r="G94" s="476">
        <v>0</v>
      </c>
      <c r="H94" s="476">
        <v>800000</v>
      </c>
      <c r="I94" s="476">
        <v>0</v>
      </c>
      <c r="J94" s="476">
        <v>800000</v>
      </c>
      <c r="K94" s="476">
        <v>0</v>
      </c>
      <c r="L94" s="476">
        <v>800000</v>
      </c>
      <c r="M94" s="476">
        <v>9652.0300000000298</v>
      </c>
      <c r="N94" s="476">
        <v>9652.0300000000007</v>
      </c>
      <c r="O94" s="476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465">
        <v>204817</v>
      </c>
      <c r="C95" s="466">
        <v>3</v>
      </c>
      <c r="D95" s="467" t="s">
        <v>8</v>
      </c>
      <c r="E95" s="466">
        <v>181</v>
      </c>
      <c r="F95" s="475">
        <v>700000</v>
      </c>
      <c r="G95" s="475">
        <v>0</v>
      </c>
      <c r="H95" s="475">
        <v>700000</v>
      </c>
      <c r="I95" s="475">
        <v>-160000</v>
      </c>
      <c r="J95" s="475">
        <v>540000</v>
      </c>
      <c r="K95" s="475">
        <v>0</v>
      </c>
      <c r="L95" s="475">
        <v>540000</v>
      </c>
      <c r="M95" s="475">
        <v>27457.31</v>
      </c>
      <c r="N95" s="475">
        <v>27457.31</v>
      </c>
      <c r="O95" s="475">
        <v>0</v>
      </c>
      <c r="P95" s="452">
        <f>+L95-O95</f>
        <v>540000</v>
      </c>
    </row>
    <row r="96" spans="1:16" ht="17.100000000000001" customHeight="1" x14ac:dyDescent="0.2">
      <c r="A96" s="446" t="str">
        <f t="shared" si="4"/>
        <v>204817-3-350</v>
      </c>
      <c r="B96" s="469">
        <v>204817</v>
      </c>
      <c r="C96" s="470">
        <v>3</v>
      </c>
      <c r="D96" s="471" t="s">
        <v>8</v>
      </c>
      <c r="E96" s="470">
        <v>350</v>
      </c>
      <c r="F96" s="476"/>
      <c r="G96" s="476"/>
      <c r="H96" s="476"/>
      <c r="I96" s="476">
        <v>160000</v>
      </c>
      <c r="J96" s="476">
        <v>160000</v>
      </c>
      <c r="K96" s="476">
        <v>0</v>
      </c>
      <c r="L96" s="476">
        <v>160000</v>
      </c>
      <c r="M96" s="476">
        <v>160000</v>
      </c>
      <c r="N96" s="476">
        <v>160000</v>
      </c>
      <c r="O96" s="476"/>
      <c r="P96" s="451">
        <f t="shared" si="1"/>
        <v>160000</v>
      </c>
    </row>
    <row r="97" spans="1:16" ht="17.100000000000001" customHeight="1" x14ac:dyDescent="0.2">
      <c r="A97" s="446" t="str">
        <f t="shared" si="4"/>
        <v>204818-3-142</v>
      </c>
      <c r="B97" s="465">
        <v>204818</v>
      </c>
      <c r="C97" s="466">
        <v>3</v>
      </c>
      <c r="D97" s="467" t="s">
        <v>8</v>
      </c>
      <c r="E97" s="466">
        <v>142</v>
      </c>
      <c r="F97" s="475">
        <v>1</v>
      </c>
      <c r="G97" s="475">
        <v>0</v>
      </c>
      <c r="H97" s="475">
        <v>1</v>
      </c>
      <c r="I97" s="475">
        <v>0</v>
      </c>
      <c r="J97" s="475">
        <v>1</v>
      </c>
      <c r="K97" s="475">
        <v>0</v>
      </c>
      <c r="L97" s="475">
        <v>1</v>
      </c>
      <c r="M97" s="475">
        <v>1</v>
      </c>
      <c r="N97" s="475">
        <v>1</v>
      </c>
      <c r="O97" s="475"/>
      <c r="P97" s="452">
        <f>+L97-O97</f>
        <v>1</v>
      </c>
    </row>
    <row r="98" spans="1:16" ht="17.100000000000001" customHeight="1" x14ac:dyDescent="0.2">
      <c r="A98" s="446" t="str">
        <f t="shared" si="4"/>
        <v>213406-3-188</v>
      </c>
      <c r="B98" s="469">
        <v>213406</v>
      </c>
      <c r="C98" s="470">
        <v>3</v>
      </c>
      <c r="D98" s="471" t="s">
        <v>8</v>
      </c>
      <c r="E98" s="470">
        <v>188</v>
      </c>
      <c r="F98" s="476"/>
      <c r="G98" s="476">
        <v>0</v>
      </c>
      <c r="H98" s="476">
        <v>0</v>
      </c>
      <c r="I98" s="476">
        <v>200000</v>
      </c>
      <c r="J98" s="476">
        <v>200000</v>
      </c>
      <c r="K98" s="476">
        <v>0</v>
      </c>
      <c r="L98" s="476">
        <v>200000</v>
      </c>
      <c r="M98" s="476">
        <v>196706.25</v>
      </c>
      <c r="N98" s="476">
        <v>0.25</v>
      </c>
      <c r="O98" s="476">
        <v>196706</v>
      </c>
      <c r="P98" s="451">
        <f>+L98-O98</f>
        <v>3294</v>
      </c>
    </row>
    <row r="99" spans="1:16" ht="16.5" customHeight="1" x14ac:dyDescent="0.2">
      <c r="A99" s="446"/>
      <c r="B99" s="473" t="s">
        <v>9</v>
      </c>
      <c r="C99" s="485"/>
      <c r="D99" s="485"/>
      <c r="E99" s="473"/>
      <c r="F99" s="474">
        <v>517546895</v>
      </c>
      <c r="G99" s="474">
        <v>-3436635</v>
      </c>
      <c r="H99" s="474">
        <v>514110260</v>
      </c>
      <c r="I99" s="474">
        <v>-497547</v>
      </c>
      <c r="J99" s="474">
        <v>513612713</v>
      </c>
      <c r="K99" s="474">
        <v>0</v>
      </c>
      <c r="L99" s="474">
        <v>513612713</v>
      </c>
      <c r="M99" s="474">
        <v>62423625.530000001</v>
      </c>
      <c r="N99" s="474">
        <v>56725948.670000002</v>
      </c>
      <c r="O99" s="474">
        <v>6627048.71</v>
      </c>
      <c r="P99" s="453">
        <f>+L99-O99</f>
        <v>506985664.29000002</v>
      </c>
    </row>
    <row r="101" spans="1:16" ht="17.100000000000001" customHeight="1" x14ac:dyDescent="0.2">
      <c r="M101" s="454"/>
      <c r="N101" s="455">
        <f>N99-'Execução Orçamentária'!P418</f>
        <v>0</v>
      </c>
    </row>
  </sheetData>
  <mergeCells count="16">
    <mergeCell ref="C99:D99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83" activePane="bottomRight" state="frozen"/>
      <selection activeCell="Q5" sqref="Q5:Q7"/>
      <selection pane="topRight" activeCell="Q5" sqref="Q5:Q7"/>
      <selection pane="bottomLeft" activeCell="Q5" sqref="Q5:Q7"/>
      <selection pane="bottomRight" activeCell="D91" sqref="D9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8" t="s">
        <v>48</v>
      </c>
      <c r="B3" s="491" t="s">
        <v>0</v>
      </c>
      <c r="C3" s="491" t="s">
        <v>1</v>
      </c>
      <c r="D3" s="491"/>
      <c r="E3" s="489" t="s">
        <v>347</v>
      </c>
      <c r="F3" s="483" t="s">
        <v>67</v>
      </c>
      <c r="G3" s="483" t="s">
        <v>50</v>
      </c>
      <c r="H3" s="483" t="s">
        <v>51</v>
      </c>
      <c r="I3" s="483" t="s">
        <v>52</v>
      </c>
      <c r="J3" s="483" t="s">
        <v>53</v>
      </c>
      <c r="K3" s="483" t="s">
        <v>54</v>
      </c>
      <c r="L3" s="483" t="s">
        <v>5</v>
      </c>
      <c r="M3" s="483" t="s">
        <v>12</v>
      </c>
    </row>
    <row r="4" spans="1:13" ht="32.1" customHeight="1" x14ac:dyDescent="0.2">
      <c r="A4" s="488"/>
      <c r="B4" s="491"/>
      <c r="C4" s="491"/>
      <c r="D4" s="491"/>
      <c r="E4" s="490"/>
      <c r="F4" s="484"/>
      <c r="G4" s="484"/>
      <c r="H4" s="484"/>
      <c r="I4" s="484"/>
      <c r="J4" s="484"/>
      <c r="K4" s="484"/>
      <c r="L4" s="484"/>
      <c r="M4" s="484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1959814.94</v>
      </c>
      <c r="G5" s="468">
        <v>1959814.94</v>
      </c>
      <c r="H5" s="468">
        <v>0</v>
      </c>
      <c r="I5" s="468">
        <v>1959814.94</v>
      </c>
      <c r="J5" s="468">
        <v>0</v>
      </c>
      <c r="K5" s="468">
        <v>1959814.94</v>
      </c>
      <c r="L5" s="468">
        <v>0</v>
      </c>
      <c r="M5" s="468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344098</v>
      </c>
      <c r="G6" s="472">
        <v>344098</v>
      </c>
      <c r="H6" s="472">
        <v>0</v>
      </c>
      <c r="I6" s="472">
        <v>344098</v>
      </c>
      <c r="J6" s="472">
        <v>0</v>
      </c>
      <c r="K6" s="472">
        <v>344098</v>
      </c>
      <c r="L6" s="472">
        <v>0</v>
      </c>
      <c r="M6" s="472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288011.78999999998</v>
      </c>
      <c r="G7" s="468">
        <v>288011.78999999998</v>
      </c>
      <c r="H7" s="468">
        <v>0</v>
      </c>
      <c r="I7" s="468">
        <v>288011.78999999998</v>
      </c>
      <c r="J7" s="468">
        <v>0</v>
      </c>
      <c r="K7" s="468">
        <v>288011.78999999998</v>
      </c>
      <c r="L7" s="468">
        <v>0</v>
      </c>
      <c r="M7" s="468"/>
    </row>
    <row r="8" spans="1:13" ht="20.100000000000001" customHeight="1" x14ac:dyDescent="0.2">
      <c r="A8" s="410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2">
        <v>4228.2</v>
      </c>
      <c r="G8" s="472">
        <v>4228.2</v>
      </c>
      <c r="H8" s="472">
        <v>0</v>
      </c>
      <c r="I8" s="472">
        <v>4228.2</v>
      </c>
      <c r="J8" s="472">
        <v>0</v>
      </c>
      <c r="K8" s="472">
        <v>4228.2</v>
      </c>
      <c r="L8" s="472">
        <v>0</v>
      </c>
      <c r="M8" s="472"/>
    </row>
    <row r="9" spans="1:13" ht="20.100000000000001" customHeight="1" x14ac:dyDescent="0.2">
      <c r="A9" s="410" t="str">
        <f t="shared" si="0"/>
        <v>128805-3-142</v>
      </c>
      <c r="B9" s="465">
        <v>128805</v>
      </c>
      <c r="C9" s="466">
        <v>3</v>
      </c>
      <c r="D9" s="467" t="s">
        <v>8</v>
      </c>
      <c r="E9" s="466">
        <v>142</v>
      </c>
      <c r="F9" s="468">
        <v>27126.81</v>
      </c>
      <c r="G9" s="468">
        <v>27126.81</v>
      </c>
      <c r="H9" s="468">
        <v>0</v>
      </c>
      <c r="I9" s="468">
        <v>27126.81</v>
      </c>
      <c r="J9" s="468">
        <v>0</v>
      </c>
      <c r="K9" s="468">
        <v>27126.81</v>
      </c>
      <c r="L9" s="468">
        <v>0</v>
      </c>
      <c r="M9" s="468"/>
    </row>
    <row r="10" spans="1:13" ht="20.100000000000001" customHeight="1" x14ac:dyDescent="0.2">
      <c r="A10" s="410" t="str">
        <f t="shared" si="0"/>
        <v>128809-3-142</v>
      </c>
      <c r="B10" s="469">
        <v>128809</v>
      </c>
      <c r="C10" s="470">
        <v>3</v>
      </c>
      <c r="D10" s="471" t="s">
        <v>8</v>
      </c>
      <c r="E10" s="470">
        <v>142</v>
      </c>
      <c r="F10" s="472">
        <v>25557.87</v>
      </c>
      <c r="G10" s="472">
        <v>25557.87</v>
      </c>
      <c r="H10" s="472">
        <v>0</v>
      </c>
      <c r="I10" s="472">
        <v>25557.87</v>
      </c>
      <c r="J10" s="472">
        <v>0</v>
      </c>
      <c r="K10" s="472">
        <v>25557.87</v>
      </c>
      <c r="L10" s="472">
        <v>0</v>
      </c>
      <c r="M10" s="472"/>
    </row>
    <row r="11" spans="1:13" ht="20.100000000000001" customHeight="1" x14ac:dyDescent="0.2">
      <c r="A11" s="410" t="str">
        <f t="shared" si="0"/>
        <v>128811-3-142</v>
      </c>
      <c r="B11" s="465">
        <v>128811</v>
      </c>
      <c r="C11" s="466">
        <v>3</v>
      </c>
      <c r="D11" s="467" t="s">
        <v>8</v>
      </c>
      <c r="E11" s="466">
        <v>142</v>
      </c>
      <c r="F11" s="468">
        <v>69880.08</v>
      </c>
      <c r="G11" s="468">
        <v>69880.08</v>
      </c>
      <c r="H11" s="468">
        <v>0</v>
      </c>
      <c r="I11" s="468">
        <v>69880.08</v>
      </c>
      <c r="J11" s="468">
        <v>0</v>
      </c>
      <c r="K11" s="468">
        <v>69880.08</v>
      </c>
      <c r="L11" s="468">
        <v>0</v>
      </c>
      <c r="M11" s="468"/>
    </row>
    <row r="12" spans="1:13" ht="20.100000000000001" customHeight="1" x14ac:dyDescent="0.2">
      <c r="A12" s="410" t="str">
        <f t="shared" si="0"/>
        <v>139605-3-151</v>
      </c>
      <c r="B12" s="469">
        <v>139605</v>
      </c>
      <c r="C12" s="470">
        <v>3</v>
      </c>
      <c r="D12" s="471" t="s">
        <v>8</v>
      </c>
      <c r="E12" s="470">
        <v>151</v>
      </c>
      <c r="F12" s="472">
        <v>246051.53</v>
      </c>
      <c r="G12" s="472">
        <v>246051.53</v>
      </c>
      <c r="H12" s="472">
        <v>6364.89</v>
      </c>
      <c r="I12" s="472">
        <v>239686.64</v>
      </c>
      <c r="J12" s="472">
        <v>0</v>
      </c>
      <c r="K12" s="472">
        <v>239686.64</v>
      </c>
      <c r="L12" s="472">
        <v>0</v>
      </c>
      <c r="M12" s="472"/>
    </row>
    <row r="13" spans="1:13" ht="20.100000000000001" customHeight="1" x14ac:dyDescent="0.2">
      <c r="A13" s="410" t="str">
        <f t="shared" si="0"/>
        <v>174222-1-100</v>
      </c>
      <c r="B13" s="465">
        <v>174222</v>
      </c>
      <c r="C13" s="466">
        <v>1</v>
      </c>
      <c r="D13" s="467" t="s">
        <v>11</v>
      </c>
      <c r="E13" s="466">
        <v>100</v>
      </c>
      <c r="F13" s="468">
        <v>298244928.63</v>
      </c>
      <c r="G13" s="468">
        <v>296276691</v>
      </c>
      <c r="H13" s="468">
        <v>4699389.76</v>
      </c>
      <c r="I13" s="468">
        <v>291577301.24000001</v>
      </c>
      <c r="J13" s="468">
        <v>15225782.35</v>
      </c>
      <c r="K13" s="468">
        <v>276351518.88999999</v>
      </c>
      <c r="L13" s="468">
        <v>1968237.63</v>
      </c>
      <c r="M13" s="468"/>
    </row>
    <row r="14" spans="1:13" ht="20.100000000000001" customHeight="1" x14ac:dyDescent="0.2">
      <c r="A14" s="410" t="str">
        <f t="shared" si="0"/>
        <v>174224-3-151</v>
      </c>
      <c r="B14" s="469">
        <v>174224</v>
      </c>
      <c r="C14" s="470">
        <v>3</v>
      </c>
      <c r="D14" s="471" t="s">
        <v>8</v>
      </c>
      <c r="E14" s="470">
        <v>151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472">
        <v>0</v>
      </c>
      <c r="M14" s="472"/>
    </row>
    <row r="15" spans="1:13" ht="20.100000000000001" customHeight="1" x14ac:dyDescent="0.2">
      <c r="A15" s="410" t="str">
        <f t="shared" si="0"/>
        <v>174224-3-188</v>
      </c>
      <c r="B15" s="465">
        <v>174224</v>
      </c>
      <c r="C15" s="466">
        <v>3</v>
      </c>
      <c r="D15" s="467" t="s">
        <v>8</v>
      </c>
      <c r="E15" s="466">
        <v>188</v>
      </c>
      <c r="F15" s="468">
        <v>24296506.960000001</v>
      </c>
      <c r="G15" s="468">
        <v>24018725.370000001</v>
      </c>
      <c r="H15" s="468">
        <v>6481332.8300000001</v>
      </c>
      <c r="I15" s="468">
        <v>17537392.539999999</v>
      </c>
      <c r="J15" s="468">
        <v>282002.3</v>
      </c>
      <c r="K15" s="468">
        <v>17255390.239999998</v>
      </c>
      <c r="L15" s="468">
        <v>277781.59000000003</v>
      </c>
      <c r="M15" s="468"/>
    </row>
    <row r="16" spans="1:13" ht="20.100000000000001" customHeight="1" x14ac:dyDescent="0.2">
      <c r="A16" s="410" t="str">
        <f t="shared" si="0"/>
        <v>174225-3-151</v>
      </c>
      <c r="B16" s="469">
        <v>174225</v>
      </c>
      <c r="C16" s="470">
        <v>3</v>
      </c>
      <c r="D16" s="471" t="s">
        <v>8</v>
      </c>
      <c r="E16" s="470">
        <v>151</v>
      </c>
      <c r="F16" s="472">
        <v>0</v>
      </c>
      <c r="G16" s="472">
        <v>0</v>
      </c>
      <c r="H16" s="472">
        <v>0</v>
      </c>
      <c r="I16" s="472">
        <v>0</v>
      </c>
      <c r="J16" s="472">
        <v>0</v>
      </c>
      <c r="K16" s="472">
        <v>0</v>
      </c>
      <c r="L16" s="472">
        <v>0</v>
      </c>
      <c r="M16" s="472"/>
    </row>
    <row r="17" spans="1:13" ht="20.100000000000001" customHeight="1" x14ac:dyDescent="0.2">
      <c r="A17" s="410" t="str">
        <f t="shared" si="0"/>
        <v>174225-3-188</v>
      </c>
      <c r="B17" s="465">
        <v>174225</v>
      </c>
      <c r="C17" s="466">
        <v>3</v>
      </c>
      <c r="D17" s="467" t="s">
        <v>8</v>
      </c>
      <c r="E17" s="466">
        <v>188</v>
      </c>
      <c r="F17" s="468">
        <v>663941.92000000004</v>
      </c>
      <c r="G17" s="468">
        <v>559148.46</v>
      </c>
      <c r="H17" s="468">
        <v>122345.01</v>
      </c>
      <c r="I17" s="468">
        <v>436803.45</v>
      </c>
      <c r="J17" s="468">
        <v>7663.31</v>
      </c>
      <c r="K17" s="468">
        <v>429140.14</v>
      </c>
      <c r="L17" s="468">
        <v>104793.46</v>
      </c>
      <c r="M17" s="468"/>
    </row>
    <row r="18" spans="1:13" ht="20.100000000000001" customHeight="1" x14ac:dyDescent="0.2">
      <c r="A18" s="410" t="str">
        <f t="shared" si="0"/>
        <v>174230-3-142</v>
      </c>
      <c r="B18" s="469">
        <v>174230</v>
      </c>
      <c r="C18" s="470">
        <v>3</v>
      </c>
      <c r="D18" s="471" t="s">
        <v>8</v>
      </c>
      <c r="E18" s="470">
        <v>142</v>
      </c>
      <c r="F18" s="472">
        <v>329041.2</v>
      </c>
      <c r="G18" s="472">
        <v>226159.06</v>
      </c>
      <c r="H18" s="472">
        <v>21120.03</v>
      </c>
      <c r="I18" s="472">
        <v>205039.03</v>
      </c>
      <c r="J18" s="472">
        <v>46462.84</v>
      </c>
      <c r="K18" s="472">
        <v>158576.19</v>
      </c>
      <c r="L18" s="472">
        <v>102882.14</v>
      </c>
      <c r="M18" s="472"/>
    </row>
    <row r="19" spans="1:13" ht="20.100000000000001" customHeight="1" x14ac:dyDescent="0.2">
      <c r="A19" s="410" t="str">
        <f t="shared" si="0"/>
        <v>174231-3-142</v>
      </c>
      <c r="B19" s="465">
        <v>174231</v>
      </c>
      <c r="C19" s="466">
        <v>3</v>
      </c>
      <c r="D19" s="467" t="s">
        <v>8</v>
      </c>
      <c r="E19" s="466">
        <v>142</v>
      </c>
      <c r="F19" s="468">
        <v>490285.12</v>
      </c>
      <c r="G19" s="468">
        <v>465906.72</v>
      </c>
      <c r="H19" s="468">
        <v>68154.41</v>
      </c>
      <c r="I19" s="468">
        <v>397752.31</v>
      </c>
      <c r="J19" s="468">
        <v>2372.66</v>
      </c>
      <c r="K19" s="468">
        <v>395379.65</v>
      </c>
      <c r="L19" s="468">
        <v>24378.400000000001</v>
      </c>
      <c r="M19" s="468"/>
    </row>
    <row r="20" spans="1:13" ht="20.100000000000001" customHeight="1" x14ac:dyDescent="0.2">
      <c r="A20" s="410" t="str">
        <f t="shared" si="0"/>
        <v>174231-4-142</v>
      </c>
      <c r="B20" s="469">
        <v>174231</v>
      </c>
      <c r="C20" s="470">
        <v>4</v>
      </c>
      <c r="D20" s="471" t="s">
        <v>7</v>
      </c>
      <c r="E20" s="470">
        <v>142</v>
      </c>
      <c r="F20" s="472">
        <v>281210.06</v>
      </c>
      <c r="G20" s="472">
        <v>280949</v>
      </c>
      <c r="H20" s="472">
        <v>0</v>
      </c>
      <c r="I20" s="472">
        <v>280949</v>
      </c>
      <c r="J20" s="472">
        <v>0</v>
      </c>
      <c r="K20" s="472">
        <v>280949</v>
      </c>
      <c r="L20" s="472">
        <v>261.06</v>
      </c>
      <c r="M20" s="472"/>
    </row>
    <row r="21" spans="1:13" ht="20.100000000000001" customHeight="1" x14ac:dyDescent="0.2">
      <c r="A21" s="410" t="str">
        <f t="shared" si="0"/>
        <v>174232-3-100</v>
      </c>
      <c r="B21" s="465">
        <v>174232</v>
      </c>
      <c r="C21" s="466">
        <v>3</v>
      </c>
      <c r="D21" s="467" t="s">
        <v>8</v>
      </c>
      <c r="E21" s="466">
        <v>100</v>
      </c>
      <c r="F21" s="468">
        <v>4950000</v>
      </c>
      <c r="G21" s="468">
        <v>4950000</v>
      </c>
      <c r="H21" s="468">
        <v>4950000</v>
      </c>
      <c r="I21" s="468"/>
      <c r="J21" s="468"/>
      <c r="K21" s="468"/>
      <c r="L21" s="468">
        <v>0</v>
      </c>
      <c r="M21" s="468"/>
    </row>
    <row r="22" spans="1:13" ht="20.100000000000001" customHeight="1" x14ac:dyDescent="0.2">
      <c r="A22" s="410" t="str">
        <f t="shared" si="0"/>
        <v>174232-3-142</v>
      </c>
      <c r="B22" s="469">
        <v>174232</v>
      </c>
      <c r="C22" s="470">
        <v>3</v>
      </c>
      <c r="D22" s="471" t="s">
        <v>8</v>
      </c>
      <c r="E22" s="470">
        <v>142</v>
      </c>
      <c r="F22" s="472">
        <v>28663319.16</v>
      </c>
      <c r="G22" s="472">
        <v>28373294.579999998</v>
      </c>
      <c r="H22" s="472">
        <v>8593046.1699999999</v>
      </c>
      <c r="I22" s="472">
        <v>19780248.41</v>
      </c>
      <c r="J22" s="472">
        <v>793865.34</v>
      </c>
      <c r="K22" s="472">
        <v>18986383.07</v>
      </c>
      <c r="L22" s="472">
        <v>374667.41</v>
      </c>
      <c r="M22" s="472">
        <v>248279.12</v>
      </c>
    </row>
    <row r="23" spans="1:13" ht="20.100000000000001" customHeight="1" x14ac:dyDescent="0.2">
      <c r="A23" s="410" t="str">
        <f t="shared" si="0"/>
        <v>174232-4-142</v>
      </c>
      <c r="B23" s="465">
        <v>174232</v>
      </c>
      <c r="C23" s="466">
        <v>4</v>
      </c>
      <c r="D23" s="467" t="s">
        <v>7</v>
      </c>
      <c r="E23" s="466">
        <v>142</v>
      </c>
      <c r="F23" s="468">
        <v>789269.49</v>
      </c>
      <c r="G23" s="468">
        <v>779273.09</v>
      </c>
      <c r="H23" s="468">
        <v>525898.28</v>
      </c>
      <c r="I23" s="468">
        <v>253374.81</v>
      </c>
      <c r="J23" s="468">
        <v>43.38</v>
      </c>
      <c r="K23" s="468">
        <v>253331.43</v>
      </c>
      <c r="L23" s="468">
        <v>9996.4</v>
      </c>
      <c r="M23" s="468"/>
    </row>
    <row r="24" spans="1:13" ht="20.100000000000001" customHeight="1" x14ac:dyDescent="0.2">
      <c r="A24" s="410" t="str">
        <f t="shared" si="0"/>
        <v>174233-3-142</v>
      </c>
      <c r="B24" s="469">
        <v>174233</v>
      </c>
      <c r="C24" s="470">
        <v>3</v>
      </c>
      <c r="D24" s="471" t="s">
        <v>8</v>
      </c>
      <c r="E24" s="470">
        <v>142</v>
      </c>
      <c r="F24" s="472">
        <v>199999.99</v>
      </c>
      <c r="G24" s="472">
        <v>199951.19</v>
      </c>
      <c r="H24" s="472">
        <v>0</v>
      </c>
      <c r="I24" s="472">
        <v>199951.19</v>
      </c>
      <c r="J24" s="472">
        <v>35.11</v>
      </c>
      <c r="K24" s="472">
        <v>199916.08</v>
      </c>
      <c r="L24" s="472">
        <v>48.8</v>
      </c>
      <c r="M24" s="472"/>
    </row>
    <row r="25" spans="1:13" ht="20.100000000000001" customHeight="1" x14ac:dyDescent="0.2">
      <c r="A25" s="410" t="str">
        <f t="shared" si="0"/>
        <v>174233-4-142</v>
      </c>
      <c r="B25" s="465">
        <v>174233</v>
      </c>
      <c r="C25" s="466">
        <v>4</v>
      </c>
      <c r="D25" s="467" t="s">
        <v>7</v>
      </c>
      <c r="E25" s="466">
        <v>142</v>
      </c>
      <c r="F25" s="468">
        <v>148310.16</v>
      </c>
      <c r="G25" s="468">
        <v>147900.16</v>
      </c>
      <c r="H25" s="468">
        <v>0</v>
      </c>
      <c r="I25" s="468">
        <v>147900.16</v>
      </c>
      <c r="J25" s="468">
        <v>0</v>
      </c>
      <c r="K25" s="468">
        <v>147900.16</v>
      </c>
      <c r="L25" s="468">
        <v>410</v>
      </c>
      <c r="M25" s="468"/>
    </row>
    <row r="26" spans="1:13" ht="20.100000000000001" customHeight="1" x14ac:dyDescent="0.2">
      <c r="A26" s="410" t="str">
        <f t="shared" si="0"/>
        <v>174234-3-142</v>
      </c>
      <c r="B26" s="469">
        <v>174234</v>
      </c>
      <c r="C26" s="470">
        <v>3</v>
      </c>
      <c r="D26" s="471" t="s">
        <v>8</v>
      </c>
      <c r="E26" s="470">
        <v>142</v>
      </c>
      <c r="F26" s="472">
        <v>971340.46</v>
      </c>
      <c r="G26" s="472">
        <v>925590.69</v>
      </c>
      <c r="H26" s="472">
        <v>491739.72</v>
      </c>
      <c r="I26" s="472">
        <v>433850.97</v>
      </c>
      <c r="J26" s="472">
        <v>3285.53</v>
      </c>
      <c r="K26" s="472">
        <v>430565.44</v>
      </c>
      <c r="L26" s="472">
        <v>45749.77</v>
      </c>
      <c r="M26" s="472"/>
    </row>
    <row r="27" spans="1:13" ht="20.100000000000001" customHeight="1" x14ac:dyDescent="0.2">
      <c r="A27" s="410" t="str">
        <f t="shared" si="0"/>
        <v>174234-4-142</v>
      </c>
      <c r="B27" s="465">
        <v>174234</v>
      </c>
      <c r="C27" s="466">
        <v>4</v>
      </c>
      <c r="D27" s="467" t="s">
        <v>7</v>
      </c>
      <c r="E27" s="466">
        <v>142</v>
      </c>
      <c r="F27" s="468">
        <v>983314.62</v>
      </c>
      <c r="G27" s="468">
        <v>971275</v>
      </c>
      <c r="H27" s="468">
        <v>166648</v>
      </c>
      <c r="I27" s="468">
        <v>804627</v>
      </c>
      <c r="J27" s="468">
        <v>0</v>
      </c>
      <c r="K27" s="468">
        <v>804627</v>
      </c>
      <c r="L27" s="468">
        <v>12039.62</v>
      </c>
      <c r="M27" s="468"/>
    </row>
    <row r="28" spans="1:13" ht="20.100000000000001" customHeight="1" x14ac:dyDescent="0.2">
      <c r="A28" s="410" t="str">
        <f t="shared" si="0"/>
        <v>174235-3-142</v>
      </c>
      <c r="B28" s="469">
        <v>174235</v>
      </c>
      <c r="C28" s="470">
        <v>3</v>
      </c>
      <c r="D28" s="471" t="s">
        <v>8</v>
      </c>
      <c r="E28" s="470">
        <v>142</v>
      </c>
      <c r="F28" s="472">
        <v>165731.22</v>
      </c>
      <c r="G28" s="472">
        <v>146907.12</v>
      </c>
      <c r="H28" s="472">
        <v>22448.37</v>
      </c>
      <c r="I28" s="472">
        <v>124458.75</v>
      </c>
      <c r="J28" s="472">
        <v>126.47</v>
      </c>
      <c r="K28" s="472">
        <v>124332.28</v>
      </c>
      <c r="L28" s="472">
        <v>18824.099999999999</v>
      </c>
      <c r="M28" s="472"/>
    </row>
    <row r="29" spans="1:13" ht="20.100000000000001" customHeight="1" x14ac:dyDescent="0.2">
      <c r="A29" s="410" t="str">
        <f t="shared" si="0"/>
        <v>174236-3-142</v>
      </c>
      <c r="B29" s="465">
        <v>174236</v>
      </c>
      <c r="C29" s="466">
        <v>3</v>
      </c>
      <c r="D29" s="467" t="s">
        <v>8</v>
      </c>
      <c r="E29" s="466">
        <v>142</v>
      </c>
      <c r="F29" s="468">
        <v>155070.26</v>
      </c>
      <c r="G29" s="468">
        <v>154758.31</v>
      </c>
      <c r="H29" s="468">
        <v>46053.01</v>
      </c>
      <c r="I29" s="468">
        <v>108705.3</v>
      </c>
      <c r="J29" s="468">
        <v>3569.82</v>
      </c>
      <c r="K29" s="468">
        <v>105135.48</v>
      </c>
      <c r="L29" s="468">
        <v>311.95</v>
      </c>
      <c r="M29" s="468"/>
    </row>
    <row r="30" spans="1:13" ht="20.100000000000001" customHeight="1" x14ac:dyDescent="0.2">
      <c r="A30" s="410" t="str">
        <f t="shared" si="0"/>
        <v>174236-4-142</v>
      </c>
      <c r="B30" s="469">
        <v>174236</v>
      </c>
      <c r="C30" s="470">
        <v>4</v>
      </c>
      <c r="D30" s="471" t="s">
        <v>7</v>
      </c>
      <c r="E30" s="470">
        <v>142</v>
      </c>
      <c r="F30" s="472">
        <v>0</v>
      </c>
      <c r="G30" s="472">
        <v>0</v>
      </c>
      <c r="H30" s="472">
        <v>0</v>
      </c>
      <c r="I30" s="472"/>
      <c r="J30" s="472"/>
      <c r="K30" s="472"/>
      <c r="L30" s="472">
        <v>0</v>
      </c>
      <c r="M30" s="472"/>
    </row>
    <row r="31" spans="1:13" ht="20.100000000000001" customHeight="1" x14ac:dyDescent="0.2">
      <c r="A31" s="410" t="str">
        <f t="shared" si="0"/>
        <v>174237-3-142</v>
      </c>
      <c r="B31" s="465">
        <v>174237</v>
      </c>
      <c r="C31" s="466">
        <v>3</v>
      </c>
      <c r="D31" s="467" t="s">
        <v>8</v>
      </c>
      <c r="E31" s="466">
        <v>142</v>
      </c>
      <c r="F31" s="468">
        <v>962653.95</v>
      </c>
      <c r="G31" s="468">
        <v>1121797.48</v>
      </c>
      <c r="H31" s="468">
        <v>152781.85999999999</v>
      </c>
      <c r="I31" s="468">
        <v>969015.62</v>
      </c>
      <c r="J31" s="468">
        <v>13690.42</v>
      </c>
      <c r="K31" s="468">
        <v>955325.2</v>
      </c>
      <c r="L31" s="468">
        <v>8868.27</v>
      </c>
      <c r="M31" s="468"/>
    </row>
    <row r="32" spans="1:13" ht="20.100000000000001" customHeight="1" x14ac:dyDescent="0.2">
      <c r="A32" s="410" t="str">
        <f t="shared" si="0"/>
        <v>174237-4-142</v>
      </c>
      <c r="B32" s="469">
        <v>174237</v>
      </c>
      <c r="C32" s="470">
        <v>4</v>
      </c>
      <c r="D32" s="471" t="s">
        <v>7</v>
      </c>
      <c r="E32" s="470">
        <v>142</v>
      </c>
      <c r="F32" s="472">
        <v>0</v>
      </c>
      <c r="G32" s="472">
        <v>0</v>
      </c>
      <c r="H32" s="472">
        <v>0</v>
      </c>
      <c r="I32" s="472"/>
      <c r="J32" s="472"/>
      <c r="K32" s="472"/>
      <c r="L32" s="472">
        <v>0</v>
      </c>
      <c r="M32" s="472"/>
    </row>
    <row r="33" spans="1:13" ht="20.100000000000001" customHeight="1" x14ac:dyDescent="0.2">
      <c r="A33" s="410" t="str">
        <f t="shared" si="0"/>
        <v>174238-3-142</v>
      </c>
      <c r="B33" s="465">
        <v>174238</v>
      </c>
      <c r="C33" s="466">
        <v>3</v>
      </c>
      <c r="D33" s="467" t="s">
        <v>8</v>
      </c>
      <c r="E33" s="466">
        <v>142</v>
      </c>
      <c r="F33" s="468">
        <v>166279.73000000001</v>
      </c>
      <c r="G33" s="468">
        <v>138623.75</v>
      </c>
      <c r="H33" s="468">
        <v>13080.64</v>
      </c>
      <c r="I33" s="468">
        <v>125543.11</v>
      </c>
      <c r="J33" s="468">
        <v>991.06</v>
      </c>
      <c r="K33" s="468">
        <v>124552.05</v>
      </c>
      <c r="L33" s="468">
        <v>27655.98</v>
      </c>
      <c r="M33" s="468"/>
    </row>
    <row r="34" spans="1:13" ht="20.100000000000001" customHeight="1" x14ac:dyDescent="0.2">
      <c r="A34" s="410" t="str">
        <f t="shared" si="0"/>
        <v>174239-3-142</v>
      </c>
      <c r="B34" s="469">
        <v>174239</v>
      </c>
      <c r="C34" s="470">
        <v>3</v>
      </c>
      <c r="D34" s="471" t="s">
        <v>8</v>
      </c>
      <c r="E34" s="470">
        <v>142</v>
      </c>
      <c r="F34" s="472">
        <v>5659814.5800000001</v>
      </c>
      <c r="G34" s="472">
        <v>5056848.95</v>
      </c>
      <c r="H34" s="472">
        <v>1300735.3799999999</v>
      </c>
      <c r="I34" s="472">
        <v>3756113.57</v>
      </c>
      <c r="J34" s="472">
        <v>149659.25</v>
      </c>
      <c r="K34" s="472">
        <v>3606454.32</v>
      </c>
      <c r="L34" s="472">
        <v>602965.63</v>
      </c>
      <c r="M34" s="472"/>
    </row>
    <row r="35" spans="1:13" ht="20.100000000000001" customHeight="1" x14ac:dyDescent="0.2">
      <c r="A35" s="410" t="str">
        <f t="shared" si="0"/>
        <v>174239-4-142</v>
      </c>
      <c r="B35" s="465">
        <v>174239</v>
      </c>
      <c r="C35" s="466">
        <v>4</v>
      </c>
      <c r="D35" s="467" t="s">
        <v>7</v>
      </c>
      <c r="E35" s="466">
        <v>142</v>
      </c>
      <c r="F35" s="468">
        <v>981448.55</v>
      </c>
      <c r="G35" s="468">
        <v>814304.23</v>
      </c>
      <c r="H35" s="468">
        <v>793677.68</v>
      </c>
      <c r="I35" s="468">
        <v>20626.55</v>
      </c>
      <c r="J35" s="468">
        <v>5065</v>
      </c>
      <c r="K35" s="468">
        <v>15561.55</v>
      </c>
      <c r="L35" s="468">
        <v>167144.32000000001</v>
      </c>
      <c r="M35" s="468"/>
    </row>
    <row r="36" spans="1:13" ht="20.100000000000001" customHeight="1" x14ac:dyDescent="0.2">
      <c r="A36" s="410" t="str">
        <f t="shared" si="0"/>
        <v>174239-3-150</v>
      </c>
      <c r="B36" s="469">
        <v>174239</v>
      </c>
      <c r="C36" s="470">
        <v>3</v>
      </c>
      <c r="D36" s="471" t="s">
        <v>8</v>
      </c>
      <c r="E36" s="470">
        <v>150</v>
      </c>
      <c r="F36" s="472">
        <v>1756065.96</v>
      </c>
      <c r="G36" s="472">
        <v>1746926.3</v>
      </c>
      <c r="H36" s="472">
        <v>888157.34</v>
      </c>
      <c r="I36" s="472">
        <v>858768.96</v>
      </c>
      <c r="J36" s="472">
        <v>41478.28</v>
      </c>
      <c r="K36" s="472">
        <v>817290.68</v>
      </c>
      <c r="L36" s="472">
        <v>9139.66</v>
      </c>
      <c r="M36" s="472"/>
    </row>
    <row r="37" spans="1:13" ht="20.100000000000001" customHeight="1" x14ac:dyDescent="0.2">
      <c r="A37" s="410" t="str">
        <f t="shared" si="0"/>
        <v>174240-3-142</v>
      </c>
      <c r="B37" s="465">
        <v>174240</v>
      </c>
      <c r="C37" s="466">
        <v>3</v>
      </c>
      <c r="D37" s="467" t="s">
        <v>8</v>
      </c>
      <c r="E37" s="466">
        <v>142</v>
      </c>
      <c r="F37" s="468">
        <v>410586.74</v>
      </c>
      <c r="G37" s="468">
        <v>401605.47</v>
      </c>
      <c r="H37" s="468">
        <v>76180.53</v>
      </c>
      <c r="I37" s="468">
        <v>325424.94</v>
      </c>
      <c r="J37" s="468">
        <v>409.21</v>
      </c>
      <c r="K37" s="468">
        <v>325015.73</v>
      </c>
      <c r="L37" s="468">
        <v>8981.27</v>
      </c>
      <c r="M37" s="468"/>
    </row>
    <row r="38" spans="1:13" ht="20.100000000000001" customHeight="1" x14ac:dyDescent="0.2">
      <c r="A38" s="410" t="str">
        <f t="shared" si="0"/>
        <v>174240-4-142</v>
      </c>
      <c r="B38" s="469">
        <v>174240</v>
      </c>
      <c r="C38" s="470">
        <v>4</v>
      </c>
      <c r="D38" s="471" t="s">
        <v>7</v>
      </c>
      <c r="E38" s="470">
        <v>142</v>
      </c>
      <c r="F38" s="472">
        <v>890871</v>
      </c>
      <c r="G38" s="472">
        <v>890871</v>
      </c>
      <c r="H38" s="472">
        <v>24000</v>
      </c>
      <c r="I38" s="472">
        <v>866871</v>
      </c>
      <c r="J38" s="472">
        <v>0</v>
      </c>
      <c r="K38" s="472">
        <v>866871</v>
      </c>
      <c r="L38" s="472">
        <v>0</v>
      </c>
      <c r="M38" s="472"/>
    </row>
    <row r="39" spans="1:13" ht="20.100000000000001" customHeight="1" x14ac:dyDescent="0.2">
      <c r="A39" s="410" t="str">
        <f t="shared" si="0"/>
        <v>174241-3-142</v>
      </c>
      <c r="B39" s="465">
        <v>174241</v>
      </c>
      <c r="C39" s="466">
        <v>3</v>
      </c>
      <c r="D39" s="467" t="s">
        <v>8</v>
      </c>
      <c r="E39" s="466">
        <v>142</v>
      </c>
      <c r="F39" s="468">
        <v>2296266.6</v>
      </c>
      <c r="G39" s="468">
        <v>2256055.88</v>
      </c>
      <c r="H39" s="468">
        <v>601665.12</v>
      </c>
      <c r="I39" s="468">
        <v>1654390.76</v>
      </c>
      <c r="J39" s="468">
        <v>9518.5300000000007</v>
      </c>
      <c r="K39" s="468">
        <v>1644872.23</v>
      </c>
      <c r="L39" s="468">
        <v>40210.720000000001</v>
      </c>
      <c r="M39" s="468"/>
    </row>
    <row r="40" spans="1:13" ht="20.100000000000001" customHeight="1" x14ac:dyDescent="0.2">
      <c r="A40" s="410" t="str">
        <f t="shared" si="0"/>
        <v>174241-4-142</v>
      </c>
      <c r="B40" s="469">
        <v>174241</v>
      </c>
      <c r="C40" s="470">
        <v>4</v>
      </c>
      <c r="D40" s="471" t="s">
        <v>7</v>
      </c>
      <c r="E40" s="470">
        <v>142</v>
      </c>
      <c r="F40" s="472">
        <v>655343.43999999994</v>
      </c>
      <c r="G40" s="472">
        <v>339023.44</v>
      </c>
      <c r="H40" s="472">
        <v>13680</v>
      </c>
      <c r="I40" s="472">
        <v>325343.44</v>
      </c>
      <c r="J40" s="472">
        <v>0</v>
      </c>
      <c r="K40" s="472">
        <v>325343.44</v>
      </c>
      <c r="L40" s="472">
        <v>316320</v>
      </c>
      <c r="M40" s="472"/>
    </row>
    <row r="41" spans="1:13" ht="20.100000000000001" customHeight="1" x14ac:dyDescent="0.2">
      <c r="A41" s="410" t="str">
        <f t="shared" si="0"/>
        <v>174242-3-142</v>
      </c>
      <c r="B41" s="465">
        <v>174242</v>
      </c>
      <c r="C41" s="466">
        <v>3</v>
      </c>
      <c r="D41" s="467" t="s">
        <v>8</v>
      </c>
      <c r="E41" s="466">
        <v>142</v>
      </c>
      <c r="F41" s="468">
        <v>3411052.06</v>
      </c>
      <c r="G41" s="468">
        <v>3378160.11</v>
      </c>
      <c r="H41" s="468">
        <v>934317.89</v>
      </c>
      <c r="I41" s="468">
        <v>2443842.2200000002</v>
      </c>
      <c r="J41" s="468">
        <v>1982.12</v>
      </c>
      <c r="K41" s="468">
        <v>2441860.1</v>
      </c>
      <c r="L41" s="468">
        <v>32891.949999999997</v>
      </c>
      <c r="M41" s="468"/>
    </row>
    <row r="42" spans="1:13" ht="20.100000000000001" customHeight="1" x14ac:dyDescent="0.2">
      <c r="A42" s="410" t="str">
        <f t="shared" si="0"/>
        <v>174242-4-142</v>
      </c>
      <c r="B42" s="469">
        <v>174242</v>
      </c>
      <c r="C42" s="470">
        <v>4</v>
      </c>
      <c r="D42" s="471" t="s">
        <v>7</v>
      </c>
      <c r="E42" s="470">
        <v>142</v>
      </c>
      <c r="F42" s="472">
        <v>1409120.29</v>
      </c>
      <c r="G42" s="472">
        <v>1332452.67</v>
      </c>
      <c r="H42" s="472">
        <v>120895</v>
      </c>
      <c r="I42" s="472">
        <v>1211557.67</v>
      </c>
      <c r="J42" s="472">
        <v>0</v>
      </c>
      <c r="K42" s="472">
        <v>1211557.67</v>
      </c>
      <c r="L42" s="472">
        <v>76667.62</v>
      </c>
      <c r="M42" s="472"/>
    </row>
    <row r="43" spans="1:13" ht="20.100000000000001" customHeight="1" x14ac:dyDescent="0.2">
      <c r="A43" s="410" t="str">
        <f t="shared" si="0"/>
        <v>174243-3-142</v>
      </c>
      <c r="B43" s="465">
        <v>174243</v>
      </c>
      <c r="C43" s="466">
        <v>3</v>
      </c>
      <c r="D43" s="467" t="s">
        <v>8</v>
      </c>
      <c r="E43" s="466">
        <v>142</v>
      </c>
      <c r="F43" s="468">
        <v>173159.06</v>
      </c>
      <c r="G43" s="468">
        <v>170603.59</v>
      </c>
      <c r="H43" s="468">
        <v>30915.47</v>
      </c>
      <c r="I43" s="468">
        <v>139688.12</v>
      </c>
      <c r="J43" s="468">
        <v>338.71</v>
      </c>
      <c r="K43" s="468">
        <v>139349.41</v>
      </c>
      <c r="L43" s="468">
        <v>2555.4699999999998</v>
      </c>
      <c r="M43" s="468"/>
    </row>
    <row r="44" spans="1:13" ht="20.100000000000001" customHeight="1" x14ac:dyDescent="0.2">
      <c r="A44" s="410" t="str">
        <f t="shared" si="0"/>
        <v>174244-3-142</v>
      </c>
      <c r="B44" s="469">
        <v>174244</v>
      </c>
      <c r="C44" s="470">
        <v>3</v>
      </c>
      <c r="D44" s="471" t="s">
        <v>8</v>
      </c>
      <c r="E44" s="470">
        <v>142</v>
      </c>
      <c r="F44" s="472">
        <v>195011.48</v>
      </c>
      <c r="G44" s="472">
        <v>195011.48</v>
      </c>
      <c r="H44" s="472">
        <v>164130.4</v>
      </c>
      <c r="I44" s="472">
        <v>30881.08</v>
      </c>
      <c r="J44" s="472">
        <v>0</v>
      </c>
      <c r="K44" s="472">
        <v>30881.08</v>
      </c>
      <c r="L44" s="472">
        <v>0</v>
      </c>
      <c r="M44" s="472"/>
    </row>
    <row r="45" spans="1:13" ht="20.100000000000001" customHeight="1" x14ac:dyDescent="0.2">
      <c r="A45" s="410" t="str">
        <f t="shared" si="0"/>
        <v>174245-3-142</v>
      </c>
      <c r="B45" s="465">
        <v>174245</v>
      </c>
      <c r="C45" s="466">
        <v>3</v>
      </c>
      <c r="D45" s="467" t="s">
        <v>8</v>
      </c>
      <c r="E45" s="466">
        <v>142</v>
      </c>
      <c r="F45" s="468">
        <v>3536610.9</v>
      </c>
      <c r="G45" s="468">
        <v>3521769.13</v>
      </c>
      <c r="H45" s="468">
        <v>1376775.11</v>
      </c>
      <c r="I45" s="468">
        <v>2144994.02</v>
      </c>
      <c r="J45" s="468">
        <v>102329.96</v>
      </c>
      <c r="K45" s="468">
        <v>2042664.06</v>
      </c>
      <c r="L45" s="468">
        <v>14841.77</v>
      </c>
      <c r="M45" s="468"/>
    </row>
    <row r="46" spans="1:13" ht="20.100000000000001" customHeight="1" x14ac:dyDescent="0.2">
      <c r="A46" s="410" t="str">
        <f t="shared" si="0"/>
        <v>174245-4-142</v>
      </c>
      <c r="B46" s="469">
        <v>174245</v>
      </c>
      <c r="C46" s="470">
        <v>4</v>
      </c>
      <c r="D46" s="471" t="s">
        <v>7</v>
      </c>
      <c r="E46" s="470">
        <v>142</v>
      </c>
      <c r="F46" s="472">
        <v>2442831.66</v>
      </c>
      <c r="G46" s="472">
        <v>2420749</v>
      </c>
      <c r="H46" s="472">
        <v>2050478</v>
      </c>
      <c r="I46" s="472">
        <v>370271</v>
      </c>
      <c r="J46" s="472">
        <v>0</v>
      </c>
      <c r="K46" s="472">
        <v>370271</v>
      </c>
      <c r="L46" s="472">
        <v>22082.66</v>
      </c>
      <c r="M46" s="472"/>
    </row>
    <row r="47" spans="1:13" ht="20.100000000000001" customHeight="1" x14ac:dyDescent="0.2">
      <c r="A47" s="410" t="str">
        <f t="shared" si="0"/>
        <v>174246-3-142</v>
      </c>
      <c r="B47" s="465">
        <v>174246</v>
      </c>
      <c r="C47" s="466">
        <v>3</v>
      </c>
      <c r="D47" s="467" t="s">
        <v>8</v>
      </c>
      <c r="E47" s="466">
        <v>142</v>
      </c>
      <c r="F47" s="468">
        <v>249121.02</v>
      </c>
      <c r="G47" s="468">
        <v>246642.48</v>
      </c>
      <c r="H47" s="468">
        <v>230165.87</v>
      </c>
      <c r="I47" s="468">
        <v>16476.61</v>
      </c>
      <c r="J47" s="468">
        <v>0</v>
      </c>
      <c r="K47" s="468">
        <v>16476.61</v>
      </c>
      <c r="L47" s="468">
        <v>2478.54</v>
      </c>
      <c r="M47" s="468"/>
    </row>
    <row r="48" spans="1:13" ht="20.100000000000001" customHeight="1" x14ac:dyDescent="0.2">
      <c r="A48" s="410" t="str">
        <f t="shared" si="0"/>
        <v>174247-3-142</v>
      </c>
      <c r="B48" s="469">
        <v>174247</v>
      </c>
      <c r="C48" s="470">
        <v>3</v>
      </c>
      <c r="D48" s="471" t="s">
        <v>8</v>
      </c>
      <c r="E48" s="470">
        <v>142</v>
      </c>
      <c r="F48" s="472">
        <v>166258.76999999999</v>
      </c>
      <c r="G48" s="472">
        <v>163461.88</v>
      </c>
      <c r="H48" s="472">
        <v>14644.49</v>
      </c>
      <c r="I48" s="472">
        <v>148817.39000000001</v>
      </c>
      <c r="J48" s="472">
        <v>0</v>
      </c>
      <c r="K48" s="472">
        <v>148817.39000000001</v>
      </c>
      <c r="L48" s="472">
        <v>2796.89</v>
      </c>
      <c r="M48" s="472"/>
    </row>
    <row r="49" spans="1:13" ht="20.100000000000001" customHeight="1" x14ac:dyDescent="0.2">
      <c r="A49" s="410" t="str">
        <f t="shared" si="0"/>
        <v>174249-3-142</v>
      </c>
      <c r="B49" s="465">
        <v>174249</v>
      </c>
      <c r="C49" s="466">
        <v>3</v>
      </c>
      <c r="D49" s="467" t="s">
        <v>8</v>
      </c>
      <c r="E49" s="466">
        <v>142</v>
      </c>
      <c r="F49" s="468">
        <v>467044.58</v>
      </c>
      <c r="G49" s="468">
        <v>418463.53</v>
      </c>
      <c r="H49" s="468">
        <v>110727.58</v>
      </c>
      <c r="I49" s="468">
        <v>307735.95</v>
      </c>
      <c r="J49" s="468">
        <v>556.80999999999995</v>
      </c>
      <c r="K49" s="468">
        <v>307179.14</v>
      </c>
      <c r="L49" s="468">
        <v>48581.05</v>
      </c>
      <c r="M49" s="468"/>
    </row>
    <row r="50" spans="1:13" ht="20.100000000000001" customHeight="1" x14ac:dyDescent="0.2">
      <c r="A50" s="410" t="str">
        <f t="shared" si="0"/>
        <v>174249-4-142</v>
      </c>
      <c r="B50" s="469">
        <v>174249</v>
      </c>
      <c r="C50" s="470">
        <v>4</v>
      </c>
      <c r="D50" s="471" t="s">
        <v>7</v>
      </c>
      <c r="E50" s="470">
        <v>142</v>
      </c>
      <c r="F50" s="472">
        <v>299720</v>
      </c>
      <c r="G50" s="472">
        <v>299720</v>
      </c>
      <c r="H50" s="472">
        <v>0</v>
      </c>
      <c r="I50" s="472">
        <v>299720</v>
      </c>
      <c r="J50" s="472">
        <v>0</v>
      </c>
      <c r="K50" s="472">
        <v>299720</v>
      </c>
      <c r="L50" s="472">
        <v>0</v>
      </c>
      <c r="M50" s="472"/>
    </row>
    <row r="51" spans="1:13" ht="20.100000000000001" customHeight="1" x14ac:dyDescent="0.2">
      <c r="A51" s="410" t="str">
        <f t="shared" si="0"/>
        <v>174250-3-142</v>
      </c>
      <c r="B51" s="465">
        <v>174250</v>
      </c>
      <c r="C51" s="466">
        <v>3</v>
      </c>
      <c r="D51" s="467" t="s">
        <v>8</v>
      </c>
      <c r="E51" s="466">
        <v>142</v>
      </c>
      <c r="F51" s="468">
        <v>1571333.9</v>
      </c>
      <c r="G51" s="468">
        <v>1555448.59</v>
      </c>
      <c r="H51" s="468">
        <v>738765.75</v>
      </c>
      <c r="I51" s="468">
        <v>816682.84</v>
      </c>
      <c r="J51" s="468">
        <v>9104.5400000000009</v>
      </c>
      <c r="K51" s="468">
        <v>807578.3</v>
      </c>
      <c r="L51" s="468">
        <v>15885.31</v>
      </c>
      <c r="M51" s="468"/>
    </row>
    <row r="52" spans="1:13" ht="20.100000000000001" customHeight="1" x14ac:dyDescent="0.2">
      <c r="A52" s="410" t="str">
        <f t="shared" si="0"/>
        <v>174250-4-142</v>
      </c>
      <c r="B52" s="469">
        <v>174250</v>
      </c>
      <c r="C52" s="470">
        <v>4</v>
      </c>
      <c r="D52" s="471" t="s">
        <v>7</v>
      </c>
      <c r="E52" s="470">
        <v>142</v>
      </c>
      <c r="F52" s="472">
        <v>445399</v>
      </c>
      <c r="G52" s="472">
        <v>445084</v>
      </c>
      <c r="H52" s="472">
        <v>232368</v>
      </c>
      <c r="I52" s="472">
        <v>212716</v>
      </c>
      <c r="J52" s="472">
        <v>0</v>
      </c>
      <c r="K52" s="472">
        <v>212716</v>
      </c>
      <c r="L52" s="472">
        <v>315</v>
      </c>
      <c r="M52" s="472"/>
    </row>
    <row r="53" spans="1:13" ht="20.100000000000001" customHeight="1" x14ac:dyDescent="0.2">
      <c r="A53" s="410" t="str">
        <f t="shared" si="0"/>
        <v>174252-3-142</v>
      </c>
      <c r="B53" s="465">
        <v>174252</v>
      </c>
      <c r="C53" s="466">
        <v>3</v>
      </c>
      <c r="D53" s="467" t="s">
        <v>8</v>
      </c>
      <c r="E53" s="466">
        <v>142</v>
      </c>
      <c r="F53" s="468">
        <v>1877791.84</v>
      </c>
      <c r="G53" s="468">
        <v>1704418.01</v>
      </c>
      <c r="H53" s="468">
        <v>368472.6</v>
      </c>
      <c r="I53" s="468">
        <v>1335945.4099999999</v>
      </c>
      <c r="J53" s="468">
        <v>11068.43</v>
      </c>
      <c r="K53" s="468">
        <v>1324876.98</v>
      </c>
      <c r="L53" s="468">
        <v>173373.83</v>
      </c>
      <c r="M53" s="468"/>
    </row>
    <row r="54" spans="1:13" ht="20.100000000000001" customHeight="1" x14ac:dyDescent="0.2">
      <c r="A54" s="410" t="str">
        <f t="shared" si="0"/>
        <v>174253-3-142</v>
      </c>
      <c r="B54" s="469">
        <v>174253</v>
      </c>
      <c r="C54" s="470">
        <v>3</v>
      </c>
      <c r="D54" s="471" t="s">
        <v>8</v>
      </c>
      <c r="E54" s="470">
        <v>142</v>
      </c>
      <c r="F54" s="472">
        <v>231799.65</v>
      </c>
      <c r="G54" s="472">
        <v>228694.27</v>
      </c>
      <c r="H54" s="472">
        <v>69441.83</v>
      </c>
      <c r="I54" s="472">
        <v>159252.44</v>
      </c>
      <c r="J54" s="472">
        <v>1008.7</v>
      </c>
      <c r="K54" s="472">
        <v>158243.74</v>
      </c>
      <c r="L54" s="472">
        <v>3105.38</v>
      </c>
      <c r="M54" s="472"/>
    </row>
    <row r="55" spans="1:13" ht="20.100000000000001" customHeight="1" x14ac:dyDescent="0.2">
      <c r="A55" s="410" t="str">
        <f t="shared" si="0"/>
        <v>174254-3-142</v>
      </c>
      <c r="B55" s="465">
        <v>174254</v>
      </c>
      <c r="C55" s="466">
        <v>3</v>
      </c>
      <c r="D55" s="467" t="s">
        <v>8</v>
      </c>
      <c r="E55" s="466">
        <v>142</v>
      </c>
      <c r="F55" s="468">
        <v>741930.21</v>
      </c>
      <c r="G55" s="468">
        <v>687481.61</v>
      </c>
      <c r="H55" s="468">
        <v>97975.3</v>
      </c>
      <c r="I55" s="468">
        <v>589506.31000000006</v>
      </c>
      <c r="J55" s="468">
        <v>1634.43</v>
      </c>
      <c r="K55" s="468">
        <v>587871.88</v>
      </c>
      <c r="L55" s="468">
        <v>54448.6</v>
      </c>
      <c r="M55" s="468"/>
    </row>
    <row r="56" spans="1:13" ht="20.100000000000001" customHeight="1" x14ac:dyDescent="0.2">
      <c r="A56" s="410" t="str">
        <f t="shared" si="0"/>
        <v>174255-3-142</v>
      </c>
      <c r="B56" s="469">
        <v>174255</v>
      </c>
      <c r="C56" s="470">
        <v>3</v>
      </c>
      <c r="D56" s="471" t="s">
        <v>8</v>
      </c>
      <c r="E56" s="470">
        <v>142</v>
      </c>
      <c r="F56" s="472">
        <v>421000</v>
      </c>
      <c r="G56" s="472">
        <v>421000</v>
      </c>
      <c r="H56" s="472">
        <v>416487.79</v>
      </c>
      <c r="I56" s="472">
        <v>4512.21</v>
      </c>
      <c r="J56" s="472">
        <v>0</v>
      </c>
      <c r="K56" s="472">
        <v>4512.21</v>
      </c>
      <c r="L56" s="472">
        <v>0</v>
      </c>
      <c r="M56" s="472"/>
    </row>
    <row r="57" spans="1:13" ht="20.100000000000001" customHeight="1" x14ac:dyDescent="0.2">
      <c r="A57" s="410" t="str">
        <f t="shared" si="0"/>
        <v>174256-3-142</v>
      </c>
      <c r="B57" s="465">
        <v>174256</v>
      </c>
      <c r="C57" s="466">
        <v>3</v>
      </c>
      <c r="D57" s="467" t="s">
        <v>8</v>
      </c>
      <c r="E57" s="466">
        <v>142</v>
      </c>
      <c r="F57" s="468">
        <v>298046.99</v>
      </c>
      <c r="G57" s="468">
        <v>298046.99</v>
      </c>
      <c r="H57" s="468">
        <v>174565.28</v>
      </c>
      <c r="I57" s="468">
        <v>123481.71</v>
      </c>
      <c r="J57" s="468">
        <v>0</v>
      </c>
      <c r="K57" s="468">
        <v>123481.71</v>
      </c>
      <c r="L57" s="468">
        <v>0</v>
      </c>
      <c r="M57" s="468"/>
    </row>
    <row r="58" spans="1:13" ht="20.100000000000001" customHeight="1" x14ac:dyDescent="0.2">
      <c r="A58" s="410" t="str">
        <f t="shared" si="0"/>
        <v>174257-3-142</v>
      </c>
      <c r="B58" s="469">
        <v>174257</v>
      </c>
      <c r="C58" s="470">
        <v>3</v>
      </c>
      <c r="D58" s="471" t="s">
        <v>8</v>
      </c>
      <c r="E58" s="470">
        <v>142</v>
      </c>
      <c r="F58" s="472">
        <v>3554548.81</v>
      </c>
      <c r="G58" s="472">
        <v>3442257.13</v>
      </c>
      <c r="H58" s="472">
        <v>2334295.86</v>
      </c>
      <c r="I58" s="472">
        <v>1107961.27</v>
      </c>
      <c r="J58" s="472">
        <v>5515.05</v>
      </c>
      <c r="K58" s="472">
        <v>1102446.22</v>
      </c>
      <c r="L58" s="472">
        <v>112291.68</v>
      </c>
      <c r="M58" s="472"/>
    </row>
    <row r="59" spans="1:13" ht="20.100000000000001" customHeight="1" x14ac:dyDescent="0.2">
      <c r="A59" s="410" t="str">
        <f t="shared" si="0"/>
        <v>174257-4-142</v>
      </c>
      <c r="B59" s="465">
        <v>174257</v>
      </c>
      <c r="C59" s="466">
        <v>4</v>
      </c>
      <c r="D59" s="467" t="s">
        <v>7</v>
      </c>
      <c r="E59" s="466">
        <v>142</v>
      </c>
      <c r="F59" s="468">
        <v>190000</v>
      </c>
      <c r="G59" s="468">
        <v>190000</v>
      </c>
      <c r="H59" s="468">
        <v>120000</v>
      </c>
      <c r="I59" s="468">
        <v>70000</v>
      </c>
      <c r="J59" s="468">
        <v>0</v>
      </c>
      <c r="K59" s="468">
        <v>70000</v>
      </c>
      <c r="L59" s="468">
        <v>0</v>
      </c>
      <c r="M59" s="468"/>
    </row>
    <row r="60" spans="1:13" ht="20.100000000000001" customHeight="1" x14ac:dyDescent="0.2">
      <c r="A60" s="410" t="str">
        <f t="shared" si="0"/>
        <v>174258-3-142</v>
      </c>
      <c r="B60" s="469">
        <v>174258</v>
      </c>
      <c r="C60" s="470">
        <v>3</v>
      </c>
      <c r="D60" s="471" t="s">
        <v>8</v>
      </c>
      <c r="E60" s="470">
        <v>142</v>
      </c>
      <c r="F60" s="472">
        <v>1482585.57</v>
      </c>
      <c r="G60" s="472">
        <v>1390023.99</v>
      </c>
      <c r="H60" s="472">
        <v>593938.86</v>
      </c>
      <c r="I60" s="472">
        <v>796085.13</v>
      </c>
      <c r="J60" s="472">
        <v>3133.07</v>
      </c>
      <c r="K60" s="472">
        <v>792952.06</v>
      </c>
      <c r="L60" s="472">
        <v>92561.58</v>
      </c>
      <c r="M60" s="472"/>
    </row>
    <row r="61" spans="1:13" ht="20.100000000000001" customHeight="1" x14ac:dyDescent="0.2">
      <c r="A61" s="410" t="str">
        <f t="shared" si="0"/>
        <v>174258-4-142</v>
      </c>
      <c r="B61" s="465">
        <v>174258</v>
      </c>
      <c r="C61" s="466">
        <v>4</v>
      </c>
      <c r="D61" s="467" t="s">
        <v>7</v>
      </c>
      <c r="E61" s="466">
        <v>142</v>
      </c>
      <c r="F61" s="468">
        <v>760925</v>
      </c>
      <c r="G61" s="468">
        <v>297429.08</v>
      </c>
      <c r="H61" s="468">
        <v>288789.08</v>
      </c>
      <c r="I61" s="468">
        <v>8640</v>
      </c>
      <c r="J61" s="468">
        <v>0</v>
      </c>
      <c r="K61" s="468">
        <v>8640</v>
      </c>
      <c r="L61" s="468">
        <v>463495.92</v>
      </c>
      <c r="M61" s="468"/>
    </row>
    <row r="62" spans="1:13" ht="20.100000000000001" customHeight="1" x14ac:dyDescent="0.2">
      <c r="A62" s="410" t="str">
        <f t="shared" si="0"/>
        <v>174259-3-142</v>
      </c>
      <c r="B62" s="469">
        <v>174259</v>
      </c>
      <c r="C62" s="470">
        <v>3</v>
      </c>
      <c r="D62" s="471" t="s">
        <v>8</v>
      </c>
      <c r="E62" s="470">
        <v>142</v>
      </c>
      <c r="F62" s="472">
        <v>161106.32</v>
      </c>
      <c r="G62" s="472">
        <v>153160.35999999999</v>
      </c>
      <c r="H62" s="472">
        <v>16154.16</v>
      </c>
      <c r="I62" s="472">
        <v>137006.20000000001</v>
      </c>
      <c r="J62" s="472">
        <v>127.17</v>
      </c>
      <c r="K62" s="472">
        <v>136879.03</v>
      </c>
      <c r="L62" s="472">
        <v>7945.96</v>
      </c>
      <c r="M62" s="472"/>
    </row>
    <row r="63" spans="1:13" ht="20.100000000000001" customHeight="1" x14ac:dyDescent="0.2">
      <c r="A63" s="410" t="str">
        <f t="shared" si="0"/>
        <v>174260-3-142</v>
      </c>
      <c r="B63" s="465">
        <v>174260</v>
      </c>
      <c r="C63" s="466">
        <v>3</v>
      </c>
      <c r="D63" s="467" t="s">
        <v>8</v>
      </c>
      <c r="E63" s="466">
        <v>142</v>
      </c>
      <c r="F63" s="468">
        <v>1557307</v>
      </c>
      <c r="G63" s="468">
        <v>1454159.26</v>
      </c>
      <c r="H63" s="468">
        <v>235503.9</v>
      </c>
      <c r="I63" s="468">
        <v>1218655.3600000001</v>
      </c>
      <c r="J63" s="468">
        <v>12871.1</v>
      </c>
      <c r="K63" s="468">
        <v>1205784.26</v>
      </c>
      <c r="L63" s="468">
        <v>103147.74</v>
      </c>
      <c r="M63" s="468"/>
    </row>
    <row r="64" spans="1:13" ht="20.100000000000001" customHeight="1" x14ac:dyDescent="0.2">
      <c r="A64" s="410" t="str">
        <f t="shared" si="0"/>
        <v>174261-3-142</v>
      </c>
      <c r="B64" s="469">
        <v>174261</v>
      </c>
      <c r="C64" s="470">
        <v>3</v>
      </c>
      <c r="D64" s="471" t="s">
        <v>8</v>
      </c>
      <c r="E64" s="470">
        <v>142</v>
      </c>
      <c r="F64" s="472">
        <v>10788304.710000001</v>
      </c>
      <c r="G64" s="472">
        <v>10788304.710000001</v>
      </c>
      <c r="H64" s="472">
        <v>9527342.2200000007</v>
      </c>
      <c r="I64" s="472">
        <v>1260962.49</v>
      </c>
      <c r="J64" s="472">
        <v>38828.11</v>
      </c>
      <c r="K64" s="472">
        <v>1222134.3799999999</v>
      </c>
      <c r="L64" s="472">
        <v>0</v>
      </c>
      <c r="M64" s="472"/>
    </row>
    <row r="65" spans="1:13" ht="20.100000000000001" customHeight="1" x14ac:dyDescent="0.2">
      <c r="A65" s="410" t="str">
        <f t="shared" si="0"/>
        <v>174262-3-142</v>
      </c>
      <c r="B65" s="465">
        <v>174262</v>
      </c>
      <c r="C65" s="466">
        <v>3</v>
      </c>
      <c r="D65" s="467" t="s">
        <v>8</v>
      </c>
      <c r="E65" s="466">
        <v>142</v>
      </c>
      <c r="F65" s="468">
        <v>2087821.2</v>
      </c>
      <c r="G65" s="468">
        <v>2036101.93</v>
      </c>
      <c r="H65" s="468">
        <v>856418.55</v>
      </c>
      <c r="I65" s="468">
        <v>1179683.3799999999</v>
      </c>
      <c r="J65" s="468">
        <v>517.34</v>
      </c>
      <c r="K65" s="468">
        <v>1179166.04</v>
      </c>
      <c r="L65" s="468">
        <v>51719.27</v>
      </c>
      <c r="M65" s="468"/>
    </row>
    <row r="66" spans="1:13" ht="20.100000000000001" customHeight="1" x14ac:dyDescent="0.2">
      <c r="A66" s="410" t="str">
        <f t="shared" si="0"/>
        <v>174262-4-142</v>
      </c>
      <c r="B66" s="469">
        <v>174262</v>
      </c>
      <c r="C66" s="470">
        <v>4</v>
      </c>
      <c r="D66" s="471" t="s">
        <v>7</v>
      </c>
      <c r="E66" s="470">
        <v>142</v>
      </c>
      <c r="F66" s="472">
        <v>489288.8</v>
      </c>
      <c r="G66" s="472">
        <v>489288.8</v>
      </c>
      <c r="H66" s="472">
        <v>0</v>
      </c>
      <c r="I66" s="472">
        <v>489288.8</v>
      </c>
      <c r="J66" s="472">
        <v>0</v>
      </c>
      <c r="K66" s="472">
        <v>489288.8</v>
      </c>
      <c r="L66" s="472">
        <v>0</v>
      </c>
      <c r="M66" s="472"/>
    </row>
    <row r="67" spans="1:13" ht="20.100000000000001" customHeight="1" x14ac:dyDescent="0.2">
      <c r="A67" s="410" t="str">
        <f t="shared" si="0"/>
        <v>174263-3-142</v>
      </c>
      <c r="B67" s="465">
        <v>174263</v>
      </c>
      <c r="C67" s="466">
        <v>3</v>
      </c>
      <c r="D67" s="467" t="s">
        <v>8</v>
      </c>
      <c r="E67" s="466">
        <v>142</v>
      </c>
      <c r="F67" s="468">
        <v>637688.44999999995</v>
      </c>
      <c r="G67" s="468">
        <v>602037.94999999995</v>
      </c>
      <c r="H67" s="468">
        <v>337005.44</v>
      </c>
      <c r="I67" s="468">
        <v>265032.51</v>
      </c>
      <c r="J67" s="468">
        <v>435.9</v>
      </c>
      <c r="K67" s="468">
        <v>264596.61</v>
      </c>
      <c r="L67" s="468">
        <v>35650.5</v>
      </c>
      <c r="M67" s="468"/>
    </row>
    <row r="68" spans="1:13" ht="20.100000000000001" customHeight="1" x14ac:dyDescent="0.2">
      <c r="A68" s="410" t="str">
        <f t="shared" si="0"/>
        <v>174263-4-142</v>
      </c>
      <c r="B68" s="469">
        <v>174263</v>
      </c>
      <c r="C68" s="470">
        <v>4</v>
      </c>
      <c r="D68" s="471" t="s">
        <v>7</v>
      </c>
      <c r="E68" s="470">
        <v>142</v>
      </c>
      <c r="F68" s="472">
        <v>426406</v>
      </c>
      <c r="G68" s="472">
        <v>400000</v>
      </c>
      <c r="H68" s="472">
        <v>400000</v>
      </c>
      <c r="I68" s="472"/>
      <c r="J68" s="472"/>
      <c r="K68" s="472"/>
      <c r="L68" s="472">
        <v>26406</v>
      </c>
      <c r="M68" s="472"/>
    </row>
    <row r="69" spans="1:13" ht="20.100000000000001" customHeight="1" x14ac:dyDescent="0.2">
      <c r="A69" s="410" t="str">
        <f t="shared" si="0"/>
        <v>174264-3-142</v>
      </c>
      <c r="B69" s="465">
        <v>174264</v>
      </c>
      <c r="C69" s="466">
        <v>3</v>
      </c>
      <c r="D69" s="467" t="s">
        <v>8</v>
      </c>
      <c r="E69" s="466">
        <v>142</v>
      </c>
      <c r="F69" s="468">
        <v>3284726.3</v>
      </c>
      <c r="G69" s="468">
        <v>2381241.94</v>
      </c>
      <c r="H69" s="468">
        <v>1153365.24</v>
      </c>
      <c r="I69" s="468">
        <v>1227876.7</v>
      </c>
      <c r="J69" s="468">
        <v>21369.4</v>
      </c>
      <c r="K69" s="468">
        <v>1206507.3</v>
      </c>
      <c r="L69" s="468">
        <v>903484.36</v>
      </c>
      <c r="M69" s="468"/>
    </row>
    <row r="70" spans="1:13" ht="20.100000000000001" customHeight="1" x14ac:dyDescent="0.2">
      <c r="A70" s="410" t="str">
        <f t="shared" si="0"/>
        <v>174264-4-142</v>
      </c>
      <c r="B70" s="469">
        <v>174264</v>
      </c>
      <c r="C70" s="470">
        <v>4</v>
      </c>
      <c r="D70" s="471" t="s">
        <v>7</v>
      </c>
      <c r="E70" s="470">
        <v>142</v>
      </c>
      <c r="F70" s="472">
        <v>892142.25</v>
      </c>
      <c r="G70" s="472">
        <v>549492.25</v>
      </c>
      <c r="H70" s="472">
        <v>471854.11</v>
      </c>
      <c r="I70" s="472">
        <v>77638.14</v>
      </c>
      <c r="J70" s="472">
        <v>0</v>
      </c>
      <c r="K70" s="472">
        <v>77638.14</v>
      </c>
      <c r="L70" s="472">
        <v>342650</v>
      </c>
      <c r="M70" s="472"/>
    </row>
    <row r="71" spans="1:13" ht="20.100000000000001" customHeight="1" x14ac:dyDescent="0.2">
      <c r="A71" s="410" t="str">
        <f t="shared" ref="A71:A87" si="1">CONCATENATE(B71,"-",C71,"-",E71)</f>
        <v>174265-3-142</v>
      </c>
      <c r="B71" s="465">
        <v>174265</v>
      </c>
      <c r="C71" s="466">
        <v>3</v>
      </c>
      <c r="D71" s="467" t="s">
        <v>8</v>
      </c>
      <c r="E71" s="466">
        <v>142</v>
      </c>
      <c r="F71" s="468">
        <v>354199.91</v>
      </c>
      <c r="G71" s="468">
        <v>311929.43</v>
      </c>
      <c r="H71" s="468">
        <v>80340.759999999995</v>
      </c>
      <c r="I71" s="468">
        <v>231588.67</v>
      </c>
      <c r="J71" s="468">
        <v>0</v>
      </c>
      <c r="K71" s="468">
        <v>231588.67</v>
      </c>
      <c r="L71" s="468">
        <v>42270.48</v>
      </c>
      <c r="M71" s="468"/>
    </row>
    <row r="72" spans="1:13" ht="20.100000000000001" customHeight="1" x14ac:dyDescent="0.2">
      <c r="A72" s="410" t="str">
        <f t="shared" si="1"/>
        <v>174267-3-142</v>
      </c>
      <c r="B72" s="469">
        <v>174267</v>
      </c>
      <c r="C72" s="470">
        <v>3</v>
      </c>
      <c r="D72" s="471" t="s">
        <v>8</v>
      </c>
      <c r="E72" s="470">
        <v>142</v>
      </c>
      <c r="F72" s="472">
        <v>1513933.47</v>
      </c>
      <c r="G72" s="472">
        <v>1513751.47</v>
      </c>
      <c r="H72" s="472">
        <v>387599.32</v>
      </c>
      <c r="I72" s="472">
        <v>1126152.1499999999</v>
      </c>
      <c r="J72" s="472">
        <v>32286.51</v>
      </c>
      <c r="K72" s="472">
        <v>1093865.6399999999</v>
      </c>
      <c r="L72" s="472">
        <v>182</v>
      </c>
      <c r="M72" s="472"/>
    </row>
    <row r="73" spans="1:13" ht="20.100000000000001" customHeight="1" x14ac:dyDescent="0.2">
      <c r="A73" s="410" t="str">
        <f t="shared" si="1"/>
        <v>174267-4-142</v>
      </c>
      <c r="B73" s="465">
        <v>174267</v>
      </c>
      <c r="C73" s="466">
        <v>4</v>
      </c>
      <c r="D73" s="467" t="s">
        <v>7</v>
      </c>
      <c r="E73" s="466">
        <v>142</v>
      </c>
      <c r="F73" s="468">
        <v>110000</v>
      </c>
      <c r="G73" s="468">
        <v>110000</v>
      </c>
      <c r="H73" s="468">
        <v>0</v>
      </c>
      <c r="I73" s="468">
        <v>110000</v>
      </c>
      <c r="J73" s="468">
        <v>0</v>
      </c>
      <c r="K73" s="468">
        <v>110000</v>
      </c>
      <c r="L73" s="468">
        <v>0</v>
      </c>
      <c r="M73" s="468"/>
    </row>
    <row r="74" spans="1:13" ht="20.100000000000001" customHeight="1" x14ac:dyDescent="0.2">
      <c r="A74" s="410" t="str">
        <f t="shared" si="1"/>
        <v>174268-3-142</v>
      </c>
      <c r="B74" s="469">
        <v>174268</v>
      </c>
      <c r="C74" s="470">
        <v>3</v>
      </c>
      <c r="D74" s="471" t="s">
        <v>8</v>
      </c>
      <c r="E74" s="470">
        <v>142</v>
      </c>
      <c r="F74" s="472">
        <v>700000</v>
      </c>
      <c r="G74" s="472">
        <v>684011.21</v>
      </c>
      <c r="H74" s="472">
        <v>230390.65</v>
      </c>
      <c r="I74" s="472">
        <v>453620.56</v>
      </c>
      <c r="J74" s="472">
        <v>27868.58</v>
      </c>
      <c r="K74" s="472">
        <v>425751.98</v>
      </c>
      <c r="L74" s="472">
        <v>15988.79</v>
      </c>
      <c r="M74" s="472"/>
    </row>
    <row r="75" spans="1:13" ht="20.100000000000001" customHeight="1" x14ac:dyDescent="0.2">
      <c r="A75" s="410" t="str">
        <f t="shared" si="1"/>
        <v>174268-4-142</v>
      </c>
      <c r="B75" s="465">
        <v>174268</v>
      </c>
      <c r="C75" s="466">
        <v>4</v>
      </c>
      <c r="D75" s="467" t="s">
        <v>7</v>
      </c>
      <c r="E75" s="466">
        <v>142</v>
      </c>
      <c r="F75" s="468">
        <v>15814.9</v>
      </c>
      <c r="G75" s="468">
        <v>15626</v>
      </c>
      <c r="H75" s="468">
        <v>12000.02</v>
      </c>
      <c r="I75" s="468">
        <v>3625.98</v>
      </c>
      <c r="J75" s="468">
        <v>0</v>
      </c>
      <c r="K75" s="468">
        <v>3625.98</v>
      </c>
      <c r="L75" s="468">
        <v>188.9</v>
      </c>
      <c r="M75" s="468"/>
    </row>
    <row r="76" spans="1:13" ht="20.100000000000001" customHeight="1" x14ac:dyDescent="0.2">
      <c r="A76" s="410" t="str">
        <f t="shared" si="1"/>
        <v>174269-3-142</v>
      </c>
      <c r="B76" s="469">
        <v>174269</v>
      </c>
      <c r="C76" s="470">
        <v>3</v>
      </c>
      <c r="D76" s="471" t="s">
        <v>8</v>
      </c>
      <c r="E76" s="470">
        <v>142</v>
      </c>
      <c r="F76" s="472">
        <v>4054207.93</v>
      </c>
      <c r="G76" s="472">
        <v>3758192.44</v>
      </c>
      <c r="H76" s="472">
        <v>425548.11</v>
      </c>
      <c r="I76" s="472">
        <v>3332644.33</v>
      </c>
      <c r="J76" s="472">
        <v>33508.67</v>
      </c>
      <c r="K76" s="472">
        <v>3299135.66</v>
      </c>
      <c r="L76" s="472">
        <v>296015.49</v>
      </c>
      <c r="M76" s="472"/>
    </row>
    <row r="77" spans="1:13" ht="20.100000000000001" customHeight="1" x14ac:dyDescent="0.2">
      <c r="A77" s="410" t="str">
        <f t="shared" si="1"/>
        <v>174270-3-142</v>
      </c>
      <c r="B77" s="465">
        <v>174270</v>
      </c>
      <c r="C77" s="466">
        <v>3</v>
      </c>
      <c r="D77" s="467" t="s">
        <v>8</v>
      </c>
      <c r="E77" s="466">
        <v>142</v>
      </c>
      <c r="F77" s="468">
        <v>2636710.9300000002</v>
      </c>
      <c r="G77" s="468">
        <v>2503564.0099999998</v>
      </c>
      <c r="H77" s="468">
        <v>1651592.03</v>
      </c>
      <c r="I77" s="468">
        <v>851971.98</v>
      </c>
      <c r="J77" s="468">
        <v>56199.08</v>
      </c>
      <c r="K77" s="468">
        <v>795772.9</v>
      </c>
      <c r="L77" s="468">
        <v>133146.92000000001</v>
      </c>
      <c r="M77" s="468"/>
    </row>
    <row r="78" spans="1:13" ht="20.100000000000001" customHeight="1" x14ac:dyDescent="0.2">
      <c r="A78" s="410" t="str">
        <f t="shared" si="1"/>
        <v>174271-3-142</v>
      </c>
      <c r="B78" s="469">
        <v>174271</v>
      </c>
      <c r="C78" s="470">
        <v>3</v>
      </c>
      <c r="D78" s="471" t="s">
        <v>8</v>
      </c>
      <c r="E78" s="470">
        <v>142</v>
      </c>
      <c r="F78" s="472">
        <v>458777.36</v>
      </c>
      <c r="G78" s="472">
        <v>421856.91</v>
      </c>
      <c r="H78" s="472">
        <v>43628.63</v>
      </c>
      <c r="I78" s="472">
        <v>378228.28</v>
      </c>
      <c r="J78" s="472">
        <v>0</v>
      </c>
      <c r="K78" s="472">
        <v>378228.28</v>
      </c>
      <c r="L78" s="472">
        <v>36920.449999999997</v>
      </c>
      <c r="M78" s="472"/>
    </row>
    <row r="79" spans="1:13" ht="20.100000000000001" customHeight="1" x14ac:dyDescent="0.2">
      <c r="A79" s="410" t="str">
        <f t="shared" si="1"/>
        <v>174271-4-142</v>
      </c>
      <c r="B79" s="465">
        <v>174271</v>
      </c>
      <c r="C79" s="466">
        <v>4</v>
      </c>
      <c r="D79" s="467" t="s">
        <v>7</v>
      </c>
      <c r="E79" s="466">
        <v>142</v>
      </c>
      <c r="F79" s="468">
        <v>100000</v>
      </c>
      <c r="G79" s="468">
        <v>100000</v>
      </c>
      <c r="H79" s="468">
        <v>33000</v>
      </c>
      <c r="I79" s="468">
        <v>67000</v>
      </c>
      <c r="J79" s="468">
        <v>0</v>
      </c>
      <c r="K79" s="468">
        <v>67000</v>
      </c>
      <c r="L79" s="468">
        <v>0</v>
      </c>
      <c r="M79" s="468"/>
    </row>
    <row r="80" spans="1:13" ht="20.100000000000001" customHeight="1" x14ac:dyDescent="0.2">
      <c r="A80" s="410" t="str">
        <f t="shared" si="1"/>
        <v>174272-3-142</v>
      </c>
      <c r="B80" s="469">
        <v>174272</v>
      </c>
      <c r="C80" s="470">
        <v>3</v>
      </c>
      <c r="D80" s="471" t="s">
        <v>8</v>
      </c>
      <c r="E80" s="470">
        <v>142</v>
      </c>
      <c r="F80" s="472">
        <v>398827.29</v>
      </c>
      <c r="G80" s="472">
        <v>377868.98</v>
      </c>
      <c r="H80" s="472">
        <v>94795.72</v>
      </c>
      <c r="I80" s="472">
        <v>283073.26</v>
      </c>
      <c r="J80" s="472">
        <v>10390.17</v>
      </c>
      <c r="K80" s="472">
        <v>272683.09000000003</v>
      </c>
      <c r="L80" s="472">
        <v>20958.310000000001</v>
      </c>
      <c r="M80" s="472"/>
    </row>
    <row r="81" spans="1:13" ht="20.100000000000001" customHeight="1" x14ac:dyDescent="0.2">
      <c r="A81" s="410" t="str">
        <f t="shared" si="1"/>
        <v>174273-3-142</v>
      </c>
      <c r="B81" s="465">
        <v>174273</v>
      </c>
      <c r="C81" s="466">
        <v>3</v>
      </c>
      <c r="D81" s="467" t="s">
        <v>8</v>
      </c>
      <c r="E81" s="466">
        <v>142</v>
      </c>
      <c r="F81" s="468">
        <v>1000000</v>
      </c>
      <c r="G81" s="468">
        <v>1000000</v>
      </c>
      <c r="H81" s="468">
        <v>1000000</v>
      </c>
      <c r="I81" s="468"/>
      <c r="J81" s="468"/>
      <c r="K81" s="468"/>
      <c r="L81" s="468">
        <v>0</v>
      </c>
      <c r="M81" s="468"/>
    </row>
    <row r="82" spans="1:13" ht="20.100000000000001" customHeight="1" x14ac:dyDescent="0.2">
      <c r="A82" s="410" t="str">
        <f t="shared" si="1"/>
        <v>195063-3-100</v>
      </c>
      <c r="B82" s="469">
        <v>195063</v>
      </c>
      <c r="C82" s="470">
        <v>3</v>
      </c>
      <c r="D82" s="471" t="s">
        <v>8</v>
      </c>
      <c r="E82" s="470">
        <v>100</v>
      </c>
      <c r="F82" s="472">
        <v>1003599.52</v>
      </c>
      <c r="G82" s="472">
        <v>986480.6</v>
      </c>
      <c r="H82" s="472">
        <v>1881.32</v>
      </c>
      <c r="I82" s="472">
        <v>984599.28</v>
      </c>
      <c r="J82" s="472">
        <v>0</v>
      </c>
      <c r="K82" s="472">
        <v>984599.28</v>
      </c>
      <c r="L82" s="472">
        <v>17118.919999999998</v>
      </c>
      <c r="M82" s="472"/>
    </row>
    <row r="83" spans="1:13" ht="20.100000000000001" customHeight="1" x14ac:dyDescent="0.2">
      <c r="A83" s="410" t="str">
        <f t="shared" si="1"/>
        <v>195065-3-100</v>
      </c>
      <c r="B83" s="465">
        <v>195065</v>
      </c>
      <c r="C83" s="466">
        <v>3</v>
      </c>
      <c r="D83" s="467" t="s">
        <v>8</v>
      </c>
      <c r="E83" s="466">
        <v>100</v>
      </c>
      <c r="F83" s="468">
        <v>134668.99</v>
      </c>
      <c r="G83" s="468">
        <v>134657.79</v>
      </c>
      <c r="H83" s="468">
        <v>617.84</v>
      </c>
      <c r="I83" s="468">
        <v>134039.95000000001</v>
      </c>
      <c r="J83" s="468">
        <v>0</v>
      </c>
      <c r="K83" s="468">
        <v>134039.95000000001</v>
      </c>
      <c r="L83" s="468">
        <v>11.2</v>
      </c>
      <c r="M83" s="468"/>
    </row>
    <row r="84" spans="1:13" ht="20.100000000000001" customHeight="1" x14ac:dyDescent="0.2">
      <c r="A84" s="410" t="str">
        <f t="shared" si="1"/>
        <v>195067-3-100</v>
      </c>
      <c r="B84" s="469">
        <v>195067</v>
      </c>
      <c r="C84" s="470">
        <v>3</v>
      </c>
      <c r="D84" s="471" t="s">
        <v>8</v>
      </c>
      <c r="E84" s="470">
        <v>100</v>
      </c>
      <c r="F84" s="472">
        <v>13645406.32</v>
      </c>
      <c r="G84" s="472">
        <v>13645406.32</v>
      </c>
      <c r="H84" s="472">
        <v>2600371.5099999998</v>
      </c>
      <c r="I84" s="472">
        <v>11045034.810000001</v>
      </c>
      <c r="J84" s="472">
        <v>0</v>
      </c>
      <c r="K84" s="472">
        <v>11045034.810000001</v>
      </c>
      <c r="L84" s="472">
        <v>0</v>
      </c>
      <c r="M84" s="472"/>
    </row>
    <row r="85" spans="1:13" ht="20.100000000000001" customHeight="1" x14ac:dyDescent="0.2">
      <c r="A85" s="410" t="str">
        <f t="shared" si="1"/>
        <v>204816-3-181</v>
      </c>
      <c r="B85" s="465">
        <v>204816</v>
      </c>
      <c r="C85" s="466">
        <v>3</v>
      </c>
      <c r="D85" s="467" t="s">
        <v>8</v>
      </c>
      <c r="E85" s="466">
        <v>181</v>
      </c>
      <c r="F85" s="468">
        <v>790347.97</v>
      </c>
      <c r="G85" s="468">
        <v>715608.61</v>
      </c>
      <c r="H85" s="468">
        <v>151364.49</v>
      </c>
      <c r="I85" s="468">
        <v>564244.12</v>
      </c>
      <c r="J85" s="468">
        <v>71264.639999999999</v>
      </c>
      <c r="K85" s="468">
        <v>492979.48</v>
      </c>
      <c r="L85" s="468">
        <v>74739.360000000001</v>
      </c>
      <c r="M85" s="468"/>
    </row>
    <row r="86" spans="1:13" ht="20.100000000000001" customHeight="1" x14ac:dyDescent="0.2">
      <c r="A86" s="410" t="str">
        <f t="shared" si="1"/>
        <v>204817-3-181</v>
      </c>
      <c r="B86" s="469">
        <v>204817</v>
      </c>
      <c r="C86" s="470">
        <v>3</v>
      </c>
      <c r="D86" s="471" t="s">
        <v>8</v>
      </c>
      <c r="E86" s="470">
        <v>181</v>
      </c>
      <c r="F86" s="472">
        <v>512542.69</v>
      </c>
      <c r="G86" s="472">
        <v>482451.85</v>
      </c>
      <c r="H86" s="472">
        <v>321084.17</v>
      </c>
      <c r="I86" s="472">
        <v>161367.67999999999</v>
      </c>
      <c r="J86" s="472">
        <v>500</v>
      </c>
      <c r="K86" s="472">
        <v>160867.68</v>
      </c>
      <c r="L86" s="472">
        <v>30090.84</v>
      </c>
      <c r="M86" s="472"/>
    </row>
    <row r="87" spans="1:13" ht="20.100000000000001" customHeight="1" x14ac:dyDescent="0.2">
      <c r="A87" s="410" t="str">
        <f t="shared" si="1"/>
        <v>213406-3-188</v>
      </c>
      <c r="B87" s="465">
        <v>213406</v>
      </c>
      <c r="C87" s="466">
        <v>3</v>
      </c>
      <c r="D87" s="467" t="s">
        <v>8</v>
      </c>
      <c r="E87" s="466">
        <v>188</v>
      </c>
      <c r="F87" s="468">
        <v>3293.75</v>
      </c>
      <c r="G87" s="468">
        <v>3293.75</v>
      </c>
      <c r="H87" s="468">
        <v>0</v>
      </c>
      <c r="I87" s="468">
        <v>3293.75</v>
      </c>
      <c r="J87" s="468">
        <v>3293.75</v>
      </c>
      <c r="K87" s="468"/>
      <c r="L87" s="468">
        <v>0</v>
      </c>
      <c r="M87" s="468"/>
    </row>
    <row r="88" spans="1:13" ht="20.100000000000001" customHeight="1" x14ac:dyDescent="0.2">
      <c r="B88" s="473" t="s">
        <v>9</v>
      </c>
      <c r="C88" s="485"/>
      <c r="D88" s="485"/>
      <c r="E88" s="473"/>
      <c r="F88" s="474">
        <v>449758781.87</v>
      </c>
      <c r="G88" s="474">
        <v>442632759.57999998</v>
      </c>
      <c r="H88" s="474">
        <v>60558507.380000003</v>
      </c>
      <c r="I88" s="474">
        <v>382074252.19999999</v>
      </c>
      <c r="J88" s="474">
        <v>17032153.100000001</v>
      </c>
      <c r="K88" s="474">
        <v>365042099.10000002</v>
      </c>
      <c r="L88" s="474">
        <v>7378676.9199999999</v>
      </c>
      <c r="M88" s="474">
        <v>248279.12</v>
      </c>
    </row>
    <row r="90" spans="1:13" ht="20.100000000000001" customHeight="1" x14ac:dyDescent="0.2">
      <c r="G90" s="458">
        <f>G88-'Execução Orçamentária'!R418</f>
        <v>0</v>
      </c>
      <c r="I90" s="458">
        <f>I88-'Execução Orçamentária'!S418</f>
        <v>0</v>
      </c>
      <c r="K90" s="458">
        <f>K88-'Execução Orçamentária'!T418</f>
        <v>0</v>
      </c>
    </row>
    <row r="93" spans="1:13" ht="20.100000000000001" customHeight="1" x14ac:dyDescent="0.2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L7" sqref="L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4" t="s">
        <v>123</v>
      </c>
      <c r="F3" s="460" t="s">
        <v>121</v>
      </c>
    </row>
    <row r="4" spans="1:9" ht="41.45" customHeight="1" x14ac:dyDescent="0.2">
      <c r="B4" s="492"/>
      <c r="C4" s="493"/>
      <c r="D4" s="49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5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6">
        <v>168011.8</v>
      </c>
    </row>
    <row r="7" spans="1:9" ht="20.100000000000001" customHeight="1" x14ac:dyDescent="0.2">
      <c r="B7" s="473" t="s">
        <v>9</v>
      </c>
      <c r="C7" s="485"/>
      <c r="D7" s="485"/>
      <c r="E7" s="473"/>
      <c r="F7" s="474">
        <v>500933.75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0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8"/>
      <c r="I1" s="498"/>
      <c r="J1" s="498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44855</v>
      </c>
      <c r="V4" s="379"/>
    </row>
    <row r="5" spans="1:33" s="10" customFormat="1" ht="15" customHeight="1" thickTop="1" x14ac:dyDescent="0.2">
      <c r="A5" s="91"/>
      <c r="B5" s="419"/>
      <c r="C5" s="499" t="s">
        <v>59</v>
      </c>
      <c r="D5" s="502" t="s">
        <v>0</v>
      </c>
      <c r="E5" s="499" t="s">
        <v>15</v>
      </c>
      <c r="F5" s="505" t="s">
        <v>16</v>
      </c>
      <c r="G5" s="499" t="s">
        <v>219</v>
      </c>
      <c r="H5" s="496" t="s">
        <v>345</v>
      </c>
      <c r="I5" s="496" t="s">
        <v>65</v>
      </c>
      <c r="J5" s="496" t="s">
        <v>343</v>
      </c>
      <c r="K5" s="496" t="s">
        <v>84</v>
      </c>
      <c r="L5" s="496" t="s">
        <v>344</v>
      </c>
      <c r="M5" s="496" t="s">
        <v>307</v>
      </c>
      <c r="N5" s="496" t="s">
        <v>300</v>
      </c>
      <c r="O5" s="496" t="s">
        <v>17</v>
      </c>
      <c r="P5" s="496" t="s">
        <v>18</v>
      </c>
      <c r="Q5" s="380"/>
      <c r="R5" s="496" t="s">
        <v>19</v>
      </c>
      <c r="S5" s="496" t="s">
        <v>20</v>
      </c>
      <c r="T5" s="496" t="s">
        <v>61</v>
      </c>
      <c r="U5" s="494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0"/>
      <c r="D6" s="503"/>
      <c r="E6" s="500"/>
      <c r="F6" s="506"/>
      <c r="G6" s="500"/>
      <c r="H6" s="497"/>
      <c r="I6" s="497"/>
      <c r="J6" s="497"/>
      <c r="K6" s="497"/>
      <c r="L6" s="497"/>
      <c r="M6" s="497"/>
      <c r="N6" s="497"/>
      <c r="O6" s="497"/>
      <c r="P6" s="497"/>
      <c r="Q6" s="380"/>
      <c r="R6" s="497"/>
      <c r="S6" s="497"/>
      <c r="T6" s="497"/>
      <c r="U6" s="495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0"/>
      <c r="D7" s="503"/>
      <c r="E7" s="500"/>
      <c r="F7" s="506"/>
      <c r="G7" s="500"/>
      <c r="H7" s="497"/>
      <c r="I7" s="497"/>
      <c r="J7" s="497"/>
      <c r="K7" s="497"/>
      <c r="L7" s="497"/>
      <c r="M7" s="497"/>
      <c r="N7" s="497"/>
      <c r="O7" s="497"/>
      <c r="P7" s="497"/>
      <c r="Q7" s="380"/>
      <c r="R7" s="497"/>
      <c r="S7" s="497"/>
      <c r="T7" s="497"/>
      <c r="U7" s="495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1"/>
      <c r="D8" s="504"/>
      <c r="E8" s="501"/>
      <c r="F8" s="507"/>
      <c r="G8" s="501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1785818</v>
      </c>
      <c r="L9" s="26">
        <f t="shared" si="0"/>
        <v>3695818</v>
      </c>
      <c r="M9" s="26">
        <f t="shared" si="0"/>
        <v>1085183</v>
      </c>
      <c r="N9" s="26">
        <f t="shared" si="0"/>
        <v>2610635</v>
      </c>
      <c r="O9" s="26">
        <f t="shared" si="0"/>
        <v>2596152.9300000002</v>
      </c>
      <c r="P9" s="26">
        <f t="shared" si="0"/>
        <v>14482.070000000076</v>
      </c>
      <c r="Q9" s="35">
        <f>SUM(Q11:Q12)</f>
        <v>0</v>
      </c>
      <c r="R9" s="26">
        <f t="shared" si="0"/>
        <v>2596152.9300000002</v>
      </c>
      <c r="S9" s="26">
        <f t="shared" si="0"/>
        <v>2596152.9300000002</v>
      </c>
      <c r="T9" s="26">
        <f t="shared" si="0"/>
        <v>2596152.9300000002</v>
      </c>
      <c r="U9" s="156">
        <f>+IFERROR((R9/N9),0%)</f>
        <v>0.99445266381550856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1345000</v>
      </c>
      <c r="L11" s="31">
        <f t="shared" si="1"/>
        <v>3145000</v>
      </c>
      <c r="M11" s="31">
        <f t="shared" si="1"/>
        <v>885183</v>
      </c>
      <c r="N11" s="31">
        <f t="shared" si="1"/>
        <v>2259817</v>
      </c>
      <c r="O11" s="31">
        <f t="shared" si="1"/>
        <v>2247826.73</v>
      </c>
      <c r="P11" s="31">
        <f t="shared" si="1"/>
        <v>11990.270000000077</v>
      </c>
      <c r="Q11" s="23">
        <f t="shared" ref="Q11:T12" si="2">Q16+Q21+Q26</f>
        <v>0</v>
      </c>
      <c r="R11" s="31">
        <f t="shared" si="2"/>
        <v>2247826.73</v>
      </c>
      <c r="S11" s="31">
        <f t="shared" si="2"/>
        <v>2247826.73</v>
      </c>
      <c r="T11" s="31">
        <f t="shared" si="2"/>
        <v>2247826.73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440818</v>
      </c>
      <c r="L12" s="31">
        <f t="shared" si="3"/>
        <v>550818</v>
      </c>
      <c r="M12" s="31">
        <f t="shared" si="3"/>
        <v>200000</v>
      </c>
      <c r="N12" s="31">
        <f t="shared" si="3"/>
        <v>350818</v>
      </c>
      <c r="O12" s="31">
        <f t="shared" si="3"/>
        <v>348326.2</v>
      </c>
      <c r="P12" s="31">
        <f>P17+P22+P27</f>
        <v>2491.8000000000002</v>
      </c>
      <c r="Q12" s="23">
        <f t="shared" si="2"/>
        <v>0</v>
      </c>
      <c r="R12" s="31">
        <f t="shared" si="2"/>
        <v>348326.2</v>
      </c>
      <c r="S12" s="31">
        <f t="shared" si="2"/>
        <v>348326.2</v>
      </c>
      <c r="T12" s="31">
        <f t="shared" si="2"/>
        <v>348326.2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35183</v>
      </c>
      <c r="L15" s="21">
        <f t="shared" si="4"/>
        <v>1085183</v>
      </c>
      <c r="M15" s="21">
        <f t="shared" si="4"/>
        <v>1085183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-114817</v>
      </c>
      <c r="L16" s="32">
        <f>IFERROR(VLOOKUP(G16,'Base Zero'!$A:$L,10,FALSE),0)</f>
        <v>885183</v>
      </c>
      <c r="M16" s="32">
        <f>+L16-N16</f>
        <v>885183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150000</v>
      </c>
      <c r="L17" s="32">
        <f>IFERROR(VLOOKUP(G17,'Base Zero'!$A:$L,10,FALSE),0)</f>
        <v>200000</v>
      </c>
      <c r="M17" s="32">
        <f>+L17-N17</f>
        <v>200000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1753915</v>
      </c>
      <c r="L20" s="21">
        <f t="shared" si="5"/>
        <v>2303915</v>
      </c>
      <c r="M20" s="21">
        <f t="shared" si="5"/>
        <v>0</v>
      </c>
      <c r="N20" s="21">
        <f t="shared" si="5"/>
        <v>2303915</v>
      </c>
      <c r="O20" s="21">
        <f t="shared" si="5"/>
        <v>2303912.94</v>
      </c>
      <c r="P20" s="228">
        <f t="shared" si="5"/>
        <v>2.0600000000558794</v>
      </c>
      <c r="Q20" s="21">
        <f t="shared" si="5"/>
        <v>0</v>
      </c>
      <c r="R20" s="21">
        <f t="shared" si="5"/>
        <v>2303912.94</v>
      </c>
      <c r="S20" s="21">
        <f t="shared" si="5"/>
        <v>2303912.94</v>
      </c>
      <c r="T20" s="21">
        <f t="shared" si="5"/>
        <v>2303912.94</v>
      </c>
      <c r="U20" s="154">
        <f>+IFERROR((R20/N20),0%)</f>
        <v>0.99999910586979113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1459817</v>
      </c>
      <c r="L21" s="32">
        <f>IFERROR(VLOOKUP(G21,'Base Zero'!$A:$L,10,FALSE),0)</f>
        <v>1959817</v>
      </c>
      <c r="M21" s="32">
        <f>+L21-N21</f>
        <v>0</v>
      </c>
      <c r="N21" s="32">
        <f>IFERROR(VLOOKUP(G21,'Base Zero'!$A:$P,16,FALSE),0)</f>
        <v>1959817</v>
      </c>
      <c r="O21" s="32">
        <f>IFERROR(VLOOKUP(G21,'Base Execução'!A:M,6,FALSE),0)+IFERROR(VLOOKUP(G21,'Destaque Liberado pela CPRM'!A:F,6,FALSE),0)</f>
        <v>1959814.94</v>
      </c>
      <c r="P21" s="231">
        <f>+N21-O21</f>
        <v>2.0600000000558794</v>
      </c>
      <c r="Q21" s="32"/>
      <c r="R21" s="231">
        <f>IFERROR(VLOOKUP(G21,'Base Execução'!$A:$K,7,FALSE),0)</f>
        <v>1959814.94</v>
      </c>
      <c r="S21" s="231">
        <f>IFERROR(VLOOKUP(G21,'Base Execução'!$A:$K,9,FALSE),0)</f>
        <v>1959814.94</v>
      </c>
      <c r="T21" s="32">
        <f>IFERROR(VLOOKUP(G21,'Base Execução'!$A:$K,11,FALSE),0)</f>
        <v>1959814.94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344098</v>
      </c>
      <c r="P22" s="231">
        <f>+N22-O22</f>
        <v>0</v>
      </c>
      <c r="Q22" s="32"/>
      <c r="R22" s="231">
        <f>IFERROR(VLOOKUP(G22,'Base Execução'!$A:$K,7,FALSE),0)</f>
        <v>344098</v>
      </c>
      <c r="S22" s="231">
        <f>IFERROR(VLOOKUP(G22,'Base Execução'!$A:$K,9,FALSE),0)</f>
        <v>344098</v>
      </c>
      <c r="T22" s="32">
        <f>IFERROR(VLOOKUP(G22,'Base Execução'!$A:$K,11,FALSE),0)</f>
        <v>344098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292239.99</v>
      </c>
      <c r="P25" s="228">
        <f t="shared" si="6"/>
        <v>14480.01000000002</v>
      </c>
      <c r="Q25" s="21">
        <f t="shared" si="6"/>
        <v>0</v>
      </c>
      <c r="R25" s="21">
        <f t="shared" si="6"/>
        <v>292239.99</v>
      </c>
      <c r="S25" s="21">
        <f t="shared" si="6"/>
        <v>292239.99</v>
      </c>
      <c r="T25" s="21">
        <f t="shared" si="6"/>
        <v>292239.99</v>
      </c>
      <c r="U25" s="154">
        <f>+IFERROR((R25/N25),0%)</f>
        <v>0.9527907863849765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288011.78999999998</v>
      </c>
      <c r="P26" s="231">
        <f>+N26-O26</f>
        <v>11988.210000000021</v>
      </c>
      <c r="Q26" s="32"/>
      <c r="R26" s="231">
        <f>IFERROR(VLOOKUP(G26,'Base Execução'!$A:$K,7,FALSE),0)</f>
        <v>288011.78999999998</v>
      </c>
      <c r="S26" s="231">
        <f>IFERROR(VLOOKUP(G26,'Base Execução'!$A:$K,9,FALSE),0)</f>
        <v>288011.78999999998</v>
      </c>
      <c r="T26" s="32">
        <f>IFERROR(VLOOKUP(G26,'Base Execução'!$A:$K,11,FALSE),0)</f>
        <v>288011.78999999998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4228.2</v>
      </c>
      <c r="P27" s="231">
        <f>+N27-O27</f>
        <v>2491.8000000000002</v>
      </c>
      <c r="Q27" s="35"/>
      <c r="R27" s="231">
        <f>IFERROR(VLOOKUP(G27,'Base Execução'!$A:$K,7,FALSE),0)</f>
        <v>4228.2</v>
      </c>
      <c r="S27" s="231">
        <f>IFERROR(VLOOKUP(G27,'Base Execução'!$A:$K,9,FALSE),0)</f>
        <v>4228.2</v>
      </c>
      <c r="T27" s="32">
        <f>IFERROR(VLOOKUP(G27,'Base Execução'!$A:$K,11,FALSE),0)</f>
        <v>4228.2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246051.53</v>
      </c>
      <c r="P29" s="26">
        <f t="shared" si="7"/>
        <v>106816.47</v>
      </c>
      <c r="Q29" s="22">
        <f t="shared" si="7"/>
        <v>0</v>
      </c>
      <c r="R29" s="26">
        <f t="shared" si="7"/>
        <v>246051.53</v>
      </c>
      <c r="S29" s="26">
        <f t="shared" si="7"/>
        <v>239686.64</v>
      </c>
      <c r="T29" s="26">
        <f t="shared" si="7"/>
        <v>239686.64</v>
      </c>
      <c r="U29" s="156">
        <f>+IFERROR((R29/N29),0%)</f>
        <v>0.69729057324551957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246051.53</v>
      </c>
      <c r="P31" s="32">
        <f t="shared" si="8"/>
        <v>106816.47</v>
      </c>
      <c r="Q31" s="32">
        <f t="shared" si="8"/>
        <v>0</v>
      </c>
      <c r="R31" s="32">
        <f t="shared" si="8"/>
        <v>246051.53</v>
      </c>
      <c r="S31" s="32">
        <f t="shared" si="8"/>
        <v>239686.64</v>
      </c>
      <c r="T31" s="32">
        <f t="shared" si="8"/>
        <v>239686.64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246051.53</v>
      </c>
      <c r="P34" s="228">
        <f t="shared" si="9"/>
        <v>106816.47</v>
      </c>
      <c r="Q34" s="21">
        <f t="shared" si="9"/>
        <v>0</v>
      </c>
      <c r="R34" s="21">
        <f t="shared" si="9"/>
        <v>246051.53</v>
      </c>
      <c r="S34" s="21">
        <f t="shared" si="9"/>
        <v>239686.64</v>
      </c>
      <c r="T34" s="21">
        <f t="shared" si="9"/>
        <v>239686.64</v>
      </c>
      <c r="U34" s="154">
        <f>+IFERROR((R34/N34),0%)</f>
        <v>0.69729057324551957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246051.53</v>
      </c>
      <c r="P35" s="231">
        <f>+N35-O35</f>
        <v>106816.47</v>
      </c>
      <c r="Q35" s="32"/>
      <c r="R35" s="231">
        <f>IFERROR(VLOOKUP(G35,'Base Execução'!$A:$K,7,FALSE),0)</f>
        <v>246051.53</v>
      </c>
      <c r="S35" s="231">
        <f>IFERROR(VLOOKUP(G35,'Base Execução'!$A:$K,9,FALSE),0)</f>
        <v>239686.64</v>
      </c>
      <c r="T35" s="32">
        <f>IFERROR(VLOOKUP(G35,'Base Execução'!$A:$K,11,FALSE),0)</f>
        <v>239686.64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47000</v>
      </c>
      <c r="N37" s="26">
        <f t="shared" si="10"/>
        <v>188000</v>
      </c>
      <c r="O37" s="26">
        <f t="shared" si="10"/>
        <v>122564.76000000001</v>
      </c>
      <c r="P37" s="230">
        <f t="shared" si="10"/>
        <v>65435.240000000005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0.65194021276595748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47000</v>
      </c>
      <c r="N39" s="31">
        <f t="shared" si="11"/>
        <v>188000</v>
      </c>
      <c r="O39" s="31">
        <f t="shared" si="11"/>
        <v>122564.76000000001</v>
      </c>
      <c r="P39" s="31">
        <f t="shared" si="11"/>
        <v>65435.240000000005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47000</v>
      </c>
      <c r="N42" s="30">
        <f t="shared" si="12"/>
        <v>13000</v>
      </c>
      <c r="O42" s="30">
        <f t="shared" si="12"/>
        <v>0</v>
      </c>
      <c r="P42" s="229">
        <f t="shared" si="12"/>
        <v>13000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47000</v>
      </c>
      <c r="N43" s="32">
        <f>IFERROR(VLOOKUP(G43,'Base Zero'!$A:$P,16,FALSE),0)</f>
        <v>13000</v>
      </c>
      <c r="O43" s="32">
        <f>IFERROR(VLOOKUP(G43,'Base Execução'!A:M,6,FALSE),0)+IFERROR(VLOOKUP(G43,'Destaque Liberado pela CPRM'!A:F,6,FALSE),0)</f>
        <v>0</v>
      </c>
      <c r="P43" s="254">
        <f>+N43-O43</f>
        <v>13000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34735510.600000001</v>
      </c>
      <c r="P65" s="26">
        <f t="shared" si="20"/>
        <v>264489.40000000061</v>
      </c>
      <c r="Q65" s="35">
        <f>SUM(Q69:Q72)</f>
        <v>0</v>
      </c>
      <c r="R65" s="26">
        <f t="shared" si="20"/>
        <v>34102567.670000002</v>
      </c>
      <c r="S65" s="26">
        <f t="shared" si="20"/>
        <v>20033623.219999999</v>
      </c>
      <c r="T65" s="26">
        <f t="shared" si="20"/>
        <v>19239714.5</v>
      </c>
      <c r="U65" s="156">
        <f>+IFERROR((R65/N65),0%)</f>
        <v>0.97435907628571439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28996241.109999999</v>
      </c>
      <c r="P69" s="231">
        <f t="shared" si="24"/>
        <v>253758.8900000006</v>
      </c>
      <c r="Q69" s="32">
        <f t="shared" si="24"/>
        <v>0</v>
      </c>
      <c r="R69" s="32">
        <f t="shared" si="24"/>
        <v>28373294.579999998</v>
      </c>
      <c r="S69" s="32">
        <f t="shared" si="24"/>
        <v>19780248.41</v>
      </c>
      <c r="T69" s="32">
        <f t="shared" si="24"/>
        <v>18986383.07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789269.49</v>
      </c>
      <c r="P70" s="231">
        <f t="shared" si="25"/>
        <v>10730.510000000009</v>
      </c>
      <c r="Q70" s="32">
        <f t="shared" si="25"/>
        <v>0</v>
      </c>
      <c r="R70" s="32">
        <f t="shared" si="25"/>
        <v>779273.09</v>
      </c>
      <c r="S70" s="32">
        <f t="shared" si="25"/>
        <v>253374.81</v>
      </c>
      <c r="T70" s="32">
        <f t="shared" si="25"/>
        <v>253331.43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34735510.600000001</v>
      </c>
      <c r="P75" s="228">
        <f t="shared" si="28"/>
        <v>264489.40000000061</v>
      </c>
      <c r="Q75" s="21">
        <f>SUM(Q78:Q81)</f>
        <v>0</v>
      </c>
      <c r="R75" s="21">
        <f>SUM(R76:R81)</f>
        <v>34102567.670000002</v>
      </c>
      <c r="S75" s="21">
        <f>SUM(S76:S81)</f>
        <v>20033623.219999999</v>
      </c>
      <c r="T75" s="21">
        <f>SUM(T76:T81)</f>
        <v>19239714.5</v>
      </c>
      <c r="U75" s="154">
        <f>+IFERROR((R75/N75),0%)</f>
        <v>0.97435907628571439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28996241.109999999</v>
      </c>
      <c r="P78" s="231">
        <f t="shared" si="33"/>
        <v>253758.8900000006</v>
      </c>
      <c r="Q78" s="320"/>
      <c r="R78" s="231">
        <f>IFERROR(VLOOKUP(G78,'Base Execução'!$A:$K,7,FALSE),0)</f>
        <v>28373294.579999998</v>
      </c>
      <c r="S78" s="231">
        <f>IFERROR(VLOOKUP(G78,'Base Execução'!$A:$K,9,FALSE),0)</f>
        <v>19780248.41</v>
      </c>
      <c r="T78" s="32">
        <f>IFERROR(VLOOKUP(G78,'Base Execução'!$A:$K,11,FALSE),0)</f>
        <v>18986383.07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789269.49</v>
      </c>
      <c r="P79" s="231">
        <f t="shared" si="33"/>
        <v>10730.510000000009</v>
      </c>
      <c r="Q79" s="320"/>
      <c r="R79" s="231">
        <f>IFERROR(VLOOKUP(G79,'Base Execução'!$A:$K,7,FALSE),0)</f>
        <v>779273.09</v>
      </c>
      <c r="S79" s="231">
        <f>IFERROR(VLOOKUP(G79,'Base Execução'!$A:$K,9,FALSE),0)</f>
        <v>253374.81</v>
      </c>
      <c r="T79" s="32">
        <f>IFERROR(VLOOKUP(G79,'Base Execução'!$A:$K,11,FALSE),0)</f>
        <v>253331.43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24960448.880000003</v>
      </c>
      <c r="P83" s="26">
        <f t="shared" si="34"/>
        <v>1628658.1199999992</v>
      </c>
      <c r="Q83" s="22">
        <f>Q85</f>
        <v>0</v>
      </c>
      <c r="R83" s="26">
        <f t="shared" si="34"/>
        <v>24577873.830000002</v>
      </c>
      <c r="S83" s="26">
        <f t="shared" si="34"/>
        <v>17974195.989999998</v>
      </c>
      <c r="T83" s="26">
        <f t="shared" si="34"/>
        <v>17684530.379999999</v>
      </c>
      <c r="U83" s="156">
        <f>+IFERROR((R83/N83),0%)</f>
        <v>0.9243587545080022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24960448.880000003</v>
      </c>
      <c r="P86" s="32">
        <f t="shared" si="36"/>
        <v>1628658.1199999992</v>
      </c>
      <c r="Q86" s="32"/>
      <c r="R86" s="32">
        <f t="shared" si="36"/>
        <v>24577873.830000002</v>
      </c>
      <c r="S86" s="32">
        <f t="shared" si="36"/>
        <v>17974195.989999998</v>
      </c>
      <c r="T86" s="32">
        <f t="shared" si="36"/>
        <v>17684530.379999999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24296506.960000001</v>
      </c>
      <c r="P89" s="21">
        <f t="shared" si="37"/>
        <v>1294633.0399999991</v>
      </c>
      <c r="Q89" s="21">
        <f>Q90</f>
        <v>0</v>
      </c>
      <c r="R89" s="21">
        <f>SUM(R90:R91)</f>
        <v>24018725.370000001</v>
      </c>
      <c r="S89" s="21">
        <f>SUM(S90:S91)</f>
        <v>17537392.539999999</v>
      </c>
      <c r="T89" s="21">
        <f>SUM(T90:T91)</f>
        <v>17255390.239999998</v>
      </c>
      <c r="U89" s="154">
        <f>+IFERROR((R89/N89),0%)</f>
        <v>0.93855628823100501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24296506.960000001</v>
      </c>
      <c r="P91" s="231">
        <f>+N91-O91</f>
        <v>1294633.0399999991</v>
      </c>
      <c r="Q91" s="32"/>
      <c r="R91" s="231">
        <f>IFERROR(VLOOKUP(G91,'Base Execução'!$A:$K,7,FALSE),0)</f>
        <v>24018725.370000001</v>
      </c>
      <c r="S91" s="231">
        <f>IFERROR(VLOOKUP(G91,'Base Execução'!$A:$K,9,FALSE),0)</f>
        <v>17537392.539999999</v>
      </c>
      <c r="T91" s="32">
        <f>IFERROR(VLOOKUP(G91,'Base Execução'!$A:$K,11,FALSE),0)</f>
        <v>17255390.239999998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663941.92000000004</v>
      </c>
      <c r="P93" s="21">
        <f t="shared" si="38"/>
        <v>334025.07999999996</v>
      </c>
      <c r="Q93" s="21">
        <f t="shared" ref="Q93" si="39">Q94</f>
        <v>0</v>
      </c>
      <c r="R93" s="21">
        <f t="shared" ref="R93" si="40">SUM(R94:R95)</f>
        <v>559148.46</v>
      </c>
      <c r="S93" s="21">
        <f t="shared" ref="S93" si="41">SUM(S94:S95)</f>
        <v>436803.45</v>
      </c>
      <c r="T93" s="21">
        <f t="shared" ref="T93" si="42">SUM(T94:T95)</f>
        <v>429140.14</v>
      </c>
      <c r="U93" s="154">
        <f>+IFERROR((R93/N93),0%)</f>
        <v>0.56028752453738451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663941.92000000004</v>
      </c>
      <c r="P95" s="231">
        <f>+N95-O95</f>
        <v>334025.07999999996</v>
      </c>
      <c r="Q95" s="31"/>
      <c r="R95" s="231">
        <f>IFERROR(VLOOKUP(G95,'Base Execução'!$A:$K,7,FALSE),0)</f>
        <v>559148.46</v>
      </c>
      <c r="S95" s="231">
        <f>IFERROR(VLOOKUP(G95,'Base Execução'!$A:$K,9,FALSE),0)</f>
        <v>436803.45</v>
      </c>
      <c r="T95" s="32">
        <f>IFERROR(VLOOKUP(G95,'Base Execução'!$A:$K,11,FALSE),0)</f>
        <v>429140.14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14783674.83</v>
      </c>
      <c r="P97" s="26">
        <f>SUM(P99:P101)</f>
        <v>5027742.17</v>
      </c>
      <c r="Q97" s="22">
        <f>Q99</f>
        <v>0</v>
      </c>
      <c r="R97" s="26">
        <f t="shared" si="43"/>
        <v>14766544.710000001</v>
      </c>
      <c r="S97" s="26">
        <f t="shared" si="43"/>
        <v>12163674.040000001</v>
      </c>
      <c r="T97" s="26">
        <f t="shared" si="43"/>
        <v>12163674.040000001</v>
      </c>
      <c r="U97" s="156">
        <f>+IFERROR((R97/N97),0%)</f>
        <v>0.7453553024500974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14783674.83</v>
      </c>
      <c r="P99" s="32">
        <f>P105+P112+P119+P122</f>
        <v>5027742.17</v>
      </c>
      <c r="Q99" s="32">
        <f>Q105+Q112+Q119</f>
        <v>0</v>
      </c>
      <c r="R99" s="32">
        <f t="shared" si="44"/>
        <v>14766544.710000001</v>
      </c>
      <c r="S99" s="32">
        <f t="shared" si="44"/>
        <v>12163674.040000001</v>
      </c>
      <c r="T99" s="32">
        <f t="shared" si="44"/>
        <v>12163674.040000001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1003599.52</v>
      </c>
      <c r="P103" s="21">
        <f t="shared" si="47"/>
        <v>945902.48</v>
      </c>
      <c r="Q103" s="31"/>
      <c r="R103" s="21">
        <f>R104+R107</f>
        <v>986480.6</v>
      </c>
      <c r="S103" s="21">
        <f>S104+S107</f>
        <v>984599.28</v>
      </c>
      <c r="T103" s="21">
        <f>T104+T107</f>
        <v>984599.28</v>
      </c>
      <c r="U103" s="154">
        <f>+IFERROR((R103/N103),0%)</f>
        <v>0.50601671606389731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1003599.52</v>
      </c>
      <c r="P104" s="228">
        <f>P105+P106</f>
        <v>945902.48</v>
      </c>
      <c r="Q104" s="21">
        <f>Q105</f>
        <v>0</v>
      </c>
      <c r="R104" s="21">
        <f>R105+R106</f>
        <v>986480.6</v>
      </c>
      <c r="S104" s="21">
        <f>S105+S106</f>
        <v>984599.28</v>
      </c>
      <c r="T104" s="21">
        <f>T105+T106</f>
        <v>984599.28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1003599.52</v>
      </c>
      <c r="P105" s="231">
        <f>+N105-O105</f>
        <v>945902.48</v>
      </c>
      <c r="Q105" s="33"/>
      <c r="R105" s="231">
        <f>IFERROR(VLOOKUP(G105,'Base Execução'!$A:$K,7,FALSE),0)</f>
        <v>986480.6</v>
      </c>
      <c r="S105" s="231">
        <f>IFERROR(VLOOKUP(G105,'Base Execução'!$A:$K,9,FALSE),0)</f>
        <v>984599.28</v>
      </c>
      <c r="T105" s="32">
        <f>IFERROR(VLOOKUP(G105,'Base Execução'!$A:$K,11,FALSE),0)</f>
        <v>984599.28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134668.99</v>
      </c>
      <c r="P110" s="21">
        <f t="shared" si="50"/>
        <v>98508.010000000009</v>
      </c>
      <c r="Q110" s="33"/>
      <c r="R110" s="21">
        <f>R111+R114</f>
        <v>134657.79</v>
      </c>
      <c r="S110" s="21">
        <f>S111+S114</f>
        <v>134039.95000000001</v>
      </c>
      <c r="T110" s="21">
        <f>T111+T114</f>
        <v>134039.95000000001</v>
      </c>
      <c r="U110" s="154">
        <f>+IFERROR((R110/N110),0%)</f>
        <v>0.57749173374732499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134668.99</v>
      </c>
      <c r="P111" s="228">
        <f>P112+P113</f>
        <v>98508.010000000009</v>
      </c>
      <c r="Q111" s="21">
        <f t="shared" si="51"/>
        <v>0</v>
      </c>
      <c r="R111" s="21">
        <f>R112+R113</f>
        <v>134657.79</v>
      </c>
      <c r="S111" s="21">
        <f>S112+S113</f>
        <v>134039.95000000001</v>
      </c>
      <c r="T111" s="21">
        <f>T112+T113</f>
        <v>134039.95000000001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134668.99</v>
      </c>
      <c r="P112" s="231">
        <f>+N112-O112</f>
        <v>98508.010000000009</v>
      </c>
      <c r="Q112" s="33"/>
      <c r="R112" s="231">
        <f>IFERROR(VLOOKUP(G112,'Base Execução'!$A:$K,7,FALSE),0)</f>
        <v>134657.79</v>
      </c>
      <c r="S112" s="231">
        <f>IFERROR(VLOOKUP(G112,'Base Execução'!$A:$K,9,FALSE),0)</f>
        <v>134039.95000000001</v>
      </c>
      <c r="T112" s="32">
        <f>IFERROR(VLOOKUP(G112,'Base Execução'!$A:$K,11,FALSE),0)</f>
        <v>134039.95000000001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11045034.810000001</v>
      </c>
      <c r="T117" s="21">
        <f>T118+T121</f>
        <v>11045034.810000001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11045034.810000001</v>
      </c>
      <c r="T118" s="21">
        <f>T119+T120</f>
        <v>11045034.810000001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11045034.810000001</v>
      </c>
      <c r="T119" s="32">
        <f>IFERROR(VLOOKUP(G119,'Base Execução'!$A:$K,11,FALSE),0)</f>
        <v>11045034.810000001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298244928.63</v>
      </c>
      <c r="P125" s="26">
        <f t="shared" si="56"/>
        <v>45418574.370000005</v>
      </c>
      <c r="Q125" s="22">
        <f>Q127</f>
        <v>0</v>
      </c>
      <c r="R125" s="26">
        <f t="shared" si="56"/>
        <v>296276691</v>
      </c>
      <c r="S125" s="26">
        <f t="shared" si="56"/>
        <v>291577301.24000001</v>
      </c>
      <c r="T125" s="26">
        <f t="shared" si="56"/>
        <v>276351518.88999999</v>
      </c>
      <c r="U125" s="156">
        <f>+IFERROR((R125/N125),0%)</f>
        <v>0.86211275975965362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298244928.63</v>
      </c>
      <c r="P127" s="32">
        <f t="shared" si="57"/>
        <v>45418574.370000005</v>
      </c>
      <c r="Q127" s="32">
        <f>Q133</f>
        <v>0</v>
      </c>
      <c r="R127" s="32">
        <f>R133+R136</f>
        <v>296276691</v>
      </c>
      <c r="S127" s="32">
        <f>S133+S136</f>
        <v>291577301.24000001</v>
      </c>
      <c r="T127" s="32">
        <f>T133+T136</f>
        <v>276351518.88999999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298244928.63</v>
      </c>
      <c r="P131" s="21">
        <f t="shared" si="60"/>
        <v>45418574.370000005</v>
      </c>
      <c r="Q131" s="21">
        <f t="shared" si="60"/>
        <v>0</v>
      </c>
      <c r="R131" s="21">
        <f>R132+R135</f>
        <v>296276691</v>
      </c>
      <c r="S131" s="21">
        <f>S132+S135</f>
        <v>291577301.24000001</v>
      </c>
      <c r="T131" s="21">
        <f>T132+T135</f>
        <v>276351518.88999999</v>
      </c>
      <c r="U131" s="154">
        <f>+IFERROR((R131/N131),0%)</f>
        <v>0.86211275975965362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298244928.63</v>
      </c>
      <c r="P132" s="21">
        <f t="shared" si="61"/>
        <v>45418574.370000005</v>
      </c>
      <c r="Q132" s="21">
        <f>Q133</f>
        <v>0</v>
      </c>
      <c r="R132" s="21">
        <f>R133+R134</f>
        <v>296276691</v>
      </c>
      <c r="S132" s="21">
        <f>S133+S134</f>
        <v>291577301.24000001</v>
      </c>
      <c r="T132" s="21">
        <f>T133+T134</f>
        <v>276351518.88999999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298244928.63</v>
      </c>
      <c r="P133" s="231">
        <f>+N133-O133</f>
        <v>45418574.370000005</v>
      </c>
      <c r="Q133" s="32"/>
      <c r="R133" s="231">
        <f>IFERROR(VLOOKUP(G133,'Base Execução'!$A:$K,7,FALSE),0)</f>
        <v>296276691</v>
      </c>
      <c r="S133" s="231">
        <f>IFERROR(VLOOKUP(G133,'Base Execução'!$A:$K,9,FALSE),0)</f>
        <v>291577301.24000001</v>
      </c>
      <c r="T133" s="32">
        <f>IFERROR(VLOOKUP(G133,'Base Execução'!$A:$K,11,FALSE),0)</f>
        <v>276351518.88999999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145000</v>
      </c>
      <c r="N139" s="26">
        <f t="shared" si="63"/>
        <v>1134168</v>
      </c>
      <c r="O139" s="26">
        <f t="shared" si="63"/>
        <v>1130665.75</v>
      </c>
      <c r="P139" s="26">
        <f t="shared" si="63"/>
        <v>3502.25</v>
      </c>
      <c r="Q139" s="22">
        <f t="shared" si="63"/>
        <v>0</v>
      </c>
      <c r="R139" s="26">
        <f t="shared" si="63"/>
        <v>1121797.48</v>
      </c>
      <c r="S139" s="26">
        <f t="shared" si="63"/>
        <v>969015.62</v>
      </c>
      <c r="T139" s="26">
        <f t="shared" si="63"/>
        <v>955325.2</v>
      </c>
      <c r="U139" s="156">
        <f>+IFERROR((R139/N139),0%)</f>
        <v>0.98909286807598162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1130665.75</v>
      </c>
      <c r="P141" s="32">
        <f t="shared" si="64"/>
        <v>3502.25</v>
      </c>
      <c r="Q141" s="32">
        <f t="shared" si="64"/>
        <v>0</v>
      </c>
      <c r="R141" s="32">
        <f t="shared" si="64"/>
        <v>1121797.48</v>
      </c>
      <c r="S141" s="32">
        <f t="shared" si="64"/>
        <v>969015.62</v>
      </c>
      <c r="T141" s="32">
        <f t="shared" si="64"/>
        <v>955325.2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145000</v>
      </c>
      <c r="N142" s="32">
        <f t="shared" si="65"/>
        <v>0</v>
      </c>
      <c r="O142" s="32">
        <f t="shared" si="65"/>
        <v>0</v>
      </c>
      <c r="P142" s="32">
        <f t="shared" si="65"/>
        <v>0</v>
      </c>
      <c r="Q142" s="32">
        <f t="shared" si="65"/>
        <v>0</v>
      </c>
      <c r="R142" s="32">
        <f t="shared" si="65"/>
        <v>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145000</v>
      </c>
      <c r="N145" s="21">
        <f t="shared" si="66"/>
        <v>1134168</v>
      </c>
      <c r="O145" s="21">
        <f t="shared" si="66"/>
        <v>1130665.75</v>
      </c>
      <c r="P145" s="228">
        <f t="shared" si="66"/>
        <v>3502.25</v>
      </c>
      <c r="Q145" s="21">
        <f t="shared" si="66"/>
        <v>0</v>
      </c>
      <c r="R145" s="21">
        <f t="shared" si="66"/>
        <v>1121797.48</v>
      </c>
      <c r="S145" s="21">
        <f t="shared" si="66"/>
        <v>969015.62</v>
      </c>
      <c r="T145" s="21">
        <f t="shared" si="66"/>
        <v>955325.2</v>
      </c>
      <c r="U145" s="154">
        <f>+IFERROR((R145/N145),0%)</f>
        <v>0.98909286807598162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1130665.75</v>
      </c>
      <c r="P146" s="231">
        <f>+N146-O146</f>
        <v>3502.25</v>
      </c>
      <c r="Q146" s="32"/>
      <c r="R146" s="231">
        <f>IFERROR(VLOOKUP(G146,'Base Execução'!$A:$K,7,FALSE),0)</f>
        <v>1121797.48</v>
      </c>
      <c r="S146" s="231">
        <f>IFERROR(VLOOKUP(G146,'Base Execução'!$A:$K,9,FALSE),0)</f>
        <v>969015.62</v>
      </c>
      <c r="T146" s="32">
        <f>IFERROR(VLOOKUP(G146,'Base Execução'!$A:$K,11,FALSE),0)</f>
        <v>955325.2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145000</v>
      </c>
      <c r="N147" s="32">
        <f>IFERROR(VLOOKUP(G147,'Base Zero'!$A:$P,16,FALSE),0)</f>
        <v>0</v>
      </c>
      <c r="O147" s="32">
        <f>IFERROR(VLOOKUP(G147,'Base Execução'!A:M,6,FALSE),0)+IFERROR(VLOOKUP(G147,'Destaque Liberado pela CPRM'!A:F,6,FALSE),0)</f>
        <v>0</v>
      </c>
      <c r="P147" s="231">
        <f>+N147-O147</f>
        <v>0</v>
      </c>
      <c r="Q147" s="32"/>
      <c r="R147" s="231">
        <f>IFERROR(VLOOKUP(G147,'Base Execução'!$A:$K,7,FALSE),0)</f>
        <v>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4110000</v>
      </c>
      <c r="N149" s="26">
        <f t="shared" si="67"/>
        <v>12471211</v>
      </c>
      <c r="O149" s="26">
        <f t="shared" si="67"/>
        <v>12381899.560000001</v>
      </c>
      <c r="P149" s="230">
        <f t="shared" si="67"/>
        <v>89311.4399999991</v>
      </c>
      <c r="Q149" s="35"/>
      <c r="R149" s="230">
        <f>+R151+R152</f>
        <v>12254377.960000001</v>
      </c>
      <c r="S149" s="230">
        <f>+S151+S152</f>
        <v>2299065.62</v>
      </c>
      <c r="T149" s="26">
        <f>+T151+T152</f>
        <v>2211402.0099999998</v>
      </c>
      <c r="U149" s="156">
        <f>+IFERROR((R149/N149),0%)</f>
        <v>0.98261331317383704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4110000</v>
      </c>
      <c r="N151" s="32">
        <f t="shared" si="68"/>
        <v>12190000</v>
      </c>
      <c r="O151" s="32">
        <f t="shared" si="68"/>
        <v>12100689.5</v>
      </c>
      <c r="P151" s="32">
        <f t="shared" si="68"/>
        <v>89310.499999999098</v>
      </c>
      <c r="Q151" s="32">
        <f t="shared" si="68"/>
        <v>0</v>
      </c>
      <c r="R151" s="32">
        <f t="shared" si="68"/>
        <v>11973428.960000001</v>
      </c>
      <c r="S151" s="32">
        <f t="shared" si="68"/>
        <v>2018116.6199999999</v>
      </c>
      <c r="T151" s="32">
        <f t="shared" si="68"/>
        <v>1930453.0099999998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280949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771495.17999999993</v>
      </c>
      <c r="P155" s="228">
        <f t="shared" si="70"/>
        <v>9715.820000000007</v>
      </c>
      <c r="Q155" s="21">
        <f t="shared" si="70"/>
        <v>0</v>
      </c>
      <c r="R155" s="21">
        <f t="shared" si="70"/>
        <v>746855.72</v>
      </c>
      <c r="S155" s="21">
        <f t="shared" si="70"/>
        <v>678701.31</v>
      </c>
      <c r="T155" s="21">
        <f t="shared" si="70"/>
        <v>676328.65</v>
      </c>
      <c r="U155" s="154">
        <f>+IFERROR((R155/N155),0%)</f>
        <v>0.95602304627046975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490285.12</v>
      </c>
      <c r="P156" s="231">
        <f>+N156-O156</f>
        <v>9714.8800000000047</v>
      </c>
      <c r="Q156" s="33"/>
      <c r="R156" s="231">
        <f>IFERROR(VLOOKUP(G156,'Base Execução'!$A:$K,7,FALSE),0)</f>
        <v>465906.72</v>
      </c>
      <c r="S156" s="231">
        <f>IFERROR(VLOOKUP(G156,'Base Execução'!$A:$K,9,FALSE),0)</f>
        <v>397752.31</v>
      </c>
      <c r="T156" s="32">
        <f>IFERROR(VLOOKUP(G156,'Base Execução'!$A:$K,11,FALSE),0)</f>
        <v>395379.65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280949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30881.08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30881.08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123481.71</v>
      </c>
      <c r="T165" s="21">
        <f t="shared" si="73"/>
        <v>123481.71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123481.71</v>
      </c>
      <c r="T166" s="32">
        <f>IFERROR(VLOOKUP(G166,'Base Execução'!$A:$K,11,FALSE),0)</f>
        <v>123481.71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4110000</v>
      </c>
      <c r="N168" s="21">
        <f t="shared" si="74"/>
        <v>10790000</v>
      </c>
      <c r="O168" s="21">
        <f t="shared" si="74"/>
        <v>10788304.710000001</v>
      </c>
      <c r="P168" s="228">
        <f t="shared" si="74"/>
        <v>1695.2899999991059</v>
      </c>
      <c r="Q168" s="21">
        <f t="shared" si="74"/>
        <v>0</v>
      </c>
      <c r="R168" s="21">
        <f t="shared" si="74"/>
        <v>10788304.710000001</v>
      </c>
      <c r="S168" s="21">
        <f t="shared" si="74"/>
        <v>1260962.49</v>
      </c>
      <c r="T168" s="21">
        <f t="shared" si="74"/>
        <v>1222134.3799999999</v>
      </c>
      <c r="U168" s="154">
        <f>+IFERROR((R168/N168),0%)</f>
        <v>0.99984288322520865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4110000</v>
      </c>
      <c r="N169" s="32">
        <f>IFERROR(VLOOKUP(G169,'Base Zero'!$A:$P,16,FALSE),0)</f>
        <v>10790000</v>
      </c>
      <c r="O169" s="32">
        <f>IFERROR(VLOOKUP(G169,'Base Execução'!A:M,6,FALSE),0)+IFERROR(VLOOKUP(G169,'Destaque Liberado pela CPRM'!A:F,6,FALSE),0)</f>
        <v>10788304.710000001</v>
      </c>
      <c r="P169" s="231">
        <f>+N169-O169</f>
        <v>1695.2899999991059</v>
      </c>
      <c r="Q169" s="33"/>
      <c r="R169" s="231">
        <f>IFERROR(VLOOKUP(G169,'Base Execução'!$A:$K,7,FALSE),0)</f>
        <v>10788304.710000001</v>
      </c>
      <c r="S169" s="231">
        <f>IFERROR(VLOOKUP(G169,'Base Execução'!$A:$K,9,FALSE),0)</f>
        <v>1260962.49</v>
      </c>
      <c r="T169" s="32">
        <f>IFERROR(VLOOKUP(G169,'Base Execução'!$A:$K,11,FALSE),0)</f>
        <v>1222134.3799999999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329041.2</v>
      </c>
      <c r="P180" s="228">
        <f t="shared" si="78"/>
        <v>70958.799999999988</v>
      </c>
      <c r="Q180" s="21">
        <f t="shared" si="78"/>
        <v>0</v>
      </c>
      <c r="R180" s="21">
        <f t="shared" si="78"/>
        <v>226159.06</v>
      </c>
      <c r="S180" s="21">
        <f t="shared" si="78"/>
        <v>205039.03</v>
      </c>
      <c r="T180" s="21">
        <f t="shared" si="78"/>
        <v>158576.19</v>
      </c>
      <c r="U180" s="154">
        <f>+IFERROR((R180/N180),0%)</f>
        <v>0.56539764999999997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329041.2</v>
      </c>
      <c r="P181" s="231">
        <f>+N181-O181</f>
        <v>70958.799999999988</v>
      </c>
      <c r="Q181" s="35"/>
      <c r="R181" s="231">
        <f>IFERROR(VLOOKUP(G181,'Base Execução'!$A:$K,7,FALSE),0)</f>
        <v>226159.06</v>
      </c>
      <c r="S181" s="231">
        <f>IFERROR(VLOOKUP(G181,'Base Execução'!$A:$K,9,FALSE),0)</f>
        <v>205039.03</v>
      </c>
      <c r="T181" s="32">
        <f>IFERROR(VLOOKUP(G181,'Base Execução'!$A:$K,11,FALSE),0)</f>
        <v>158576.19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4263684.21</v>
      </c>
      <c r="P183" s="26">
        <f t="shared" si="79"/>
        <v>147240.79</v>
      </c>
      <c r="Q183" s="35">
        <f>SUM(Q185:Q187)</f>
        <v>0</v>
      </c>
      <c r="R183" s="26">
        <f t="shared" si="79"/>
        <v>3552006.7499999995</v>
      </c>
      <c r="S183" s="26">
        <f t="shared" si="79"/>
        <v>1758460.5100000002</v>
      </c>
      <c r="T183" s="26">
        <f t="shared" si="79"/>
        <v>1683500.4300000002</v>
      </c>
      <c r="U183" s="156">
        <f>+IFERROR((R183/N183),0%)</f>
        <v>0.80527480063705448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2286005.2400000002</v>
      </c>
      <c r="P185" s="32">
        <f t="shared" si="80"/>
        <v>63994.75999999998</v>
      </c>
      <c r="Q185" s="32">
        <f t="shared" si="80"/>
        <v>0</v>
      </c>
      <c r="R185" s="32">
        <f t="shared" si="80"/>
        <v>2138969.0599999996</v>
      </c>
      <c r="S185" s="32">
        <f t="shared" si="80"/>
        <v>1185576.3900000001</v>
      </c>
      <c r="T185" s="32">
        <f t="shared" si="80"/>
        <v>1181880.9500000002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8640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790347.97</v>
      </c>
      <c r="P187" s="32">
        <f t="shared" si="83"/>
        <v>9652.0300000000279</v>
      </c>
      <c r="Q187" s="32">
        <f t="shared" ref="Q187" si="84">Q194</f>
        <v>0</v>
      </c>
      <c r="R187" s="32">
        <f t="shared" si="83"/>
        <v>715608.61</v>
      </c>
      <c r="S187" s="32">
        <f t="shared" si="83"/>
        <v>564244.12</v>
      </c>
      <c r="T187" s="32">
        <f t="shared" si="83"/>
        <v>492979.48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165731.22</v>
      </c>
      <c r="P191" s="21">
        <f t="shared" si="86"/>
        <v>34268.78</v>
      </c>
      <c r="Q191" s="21">
        <f>SUM(Q192:Q194)</f>
        <v>0</v>
      </c>
      <c r="R191" s="21">
        <f>SUM(R192:R195)</f>
        <v>146907.12</v>
      </c>
      <c r="S191" s="21">
        <f>SUM(S192:S195)</f>
        <v>124458.75</v>
      </c>
      <c r="T191" s="21">
        <f>SUM(T192:T195)</f>
        <v>124332.28</v>
      </c>
      <c r="U191" s="154">
        <f>+IFERROR((R191/N191),0%)</f>
        <v>0.73453559999999996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165731.22</v>
      </c>
      <c r="P192" s="231">
        <f>+N192-O192</f>
        <v>34268.78</v>
      </c>
      <c r="Q192" s="296"/>
      <c r="R192" s="231">
        <f>IFERROR(VLOOKUP(G192,'Base Execução'!$A:$K,7,FALSE),0)</f>
        <v>146907.12</v>
      </c>
      <c r="S192" s="231">
        <f>IFERROR(VLOOKUP(G192,'Base Execução'!$A:$K,9,FALSE),0)</f>
        <v>124458.75</v>
      </c>
      <c r="T192" s="32">
        <f>IFERROR(VLOOKUP(G192,'Base Execução'!$A:$K,11,FALSE),0)</f>
        <v>124332.28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2243510.5700000003</v>
      </c>
      <c r="P197" s="21">
        <f t="shared" si="87"/>
        <v>12414.429999999935</v>
      </c>
      <c r="Q197" s="21">
        <f t="shared" ref="Q197" si="88">Q198</f>
        <v>0</v>
      </c>
      <c r="R197" s="21">
        <f t="shared" ref="R197" si="89">SUM(R198:R199)</f>
        <v>1687453.07</v>
      </c>
      <c r="S197" s="21">
        <f t="shared" ref="S197" si="90">SUM(S198:S199)</f>
        <v>804725.13</v>
      </c>
      <c r="T197" s="21">
        <f t="shared" ref="T197" si="91">SUM(T198:T199)</f>
        <v>801592.06</v>
      </c>
      <c r="U197" s="154">
        <f>+IFERROR((R197/N197),0%)</f>
        <v>0.74800938417722218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1482585.57</v>
      </c>
      <c r="P198" s="231">
        <f>+N198-O198</f>
        <v>12414.429999999935</v>
      </c>
      <c r="Q198" s="296"/>
      <c r="R198" s="231">
        <f>IFERROR(VLOOKUP(G198,'Base Execução'!$A:$K,7,FALSE),0)</f>
        <v>1390023.99</v>
      </c>
      <c r="S198" s="231">
        <f>IFERROR(VLOOKUP(G198,'Base Execução'!$A:$K,9,FALSE),0)</f>
        <v>796085.13</v>
      </c>
      <c r="T198" s="32">
        <f>IFERROR(VLOOKUP(G198,'Base Execução'!$A:$K,11,FALSE),0)</f>
        <v>792952.06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8640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1064094.45</v>
      </c>
      <c r="P201" s="21">
        <f t="shared" si="92"/>
        <v>90905.550000000047</v>
      </c>
      <c r="Q201" s="21">
        <f t="shared" ref="Q201" si="93">Q202</f>
        <v>0</v>
      </c>
      <c r="R201" s="21">
        <f t="shared" ref="R201" si="94">SUM(R202:R203)</f>
        <v>1002037.95</v>
      </c>
      <c r="S201" s="21">
        <f t="shared" ref="S201" si="95">SUM(S202:S203)</f>
        <v>265032.51</v>
      </c>
      <c r="T201" s="21">
        <f t="shared" ref="T201" si="96">SUM(T202:T203)</f>
        <v>264596.61</v>
      </c>
      <c r="U201" s="154">
        <f>+IFERROR((R201/N201),0%)</f>
        <v>0.86756532467532466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637688.44999999995</v>
      </c>
      <c r="P202" s="231">
        <f>+N202-O202</f>
        <v>17311.550000000047</v>
      </c>
      <c r="Q202" s="33"/>
      <c r="R202" s="231">
        <f>IFERROR(VLOOKUP(G202,'Base Execução'!$A:$K,7,FALSE),0)</f>
        <v>602037.94999999995</v>
      </c>
      <c r="S202" s="231">
        <f>IFERROR(VLOOKUP(G202,'Base Execução'!$A:$K,9,FALSE),0)</f>
        <v>265032.51</v>
      </c>
      <c r="T202" s="32">
        <f>IFERROR(VLOOKUP(G202,'Base Execução'!$A:$K,11,FALSE),0)</f>
        <v>264596.61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790347.97</v>
      </c>
      <c r="P205" s="228">
        <f t="shared" si="97"/>
        <v>9652.0300000000279</v>
      </c>
      <c r="Q205" s="21">
        <f t="shared" si="97"/>
        <v>0</v>
      </c>
      <c r="R205" s="21">
        <f t="shared" si="97"/>
        <v>715608.61</v>
      </c>
      <c r="S205" s="21">
        <f t="shared" si="97"/>
        <v>564244.12</v>
      </c>
      <c r="T205" s="21">
        <f>T206</f>
        <v>492979.48</v>
      </c>
      <c r="U205" s="154">
        <f>+IFERROR((R205/N205),0%)</f>
        <v>0.89451076249999995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790347.97</v>
      </c>
      <c r="P206" s="231">
        <f>+N206-O206</f>
        <v>9652.0300000000279</v>
      </c>
      <c r="Q206" s="33"/>
      <c r="R206" s="231">
        <f>IFERROR(VLOOKUP(G206,'Base Execução'!$A:$K,7,FALSE),0)</f>
        <v>715608.61</v>
      </c>
      <c r="S206" s="231">
        <f>IFERROR(VLOOKUP(G206,'Base Execução'!$A:$K,9,FALSE),0)</f>
        <v>564244.12</v>
      </c>
      <c r="T206" s="32">
        <f>IFERROR(VLOOKUP(G206,'Base Execução'!$A:$K,11,FALSE),0)</f>
        <v>492979.48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250000</v>
      </c>
      <c r="N208" s="26">
        <f t="shared" si="98"/>
        <v>4150000</v>
      </c>
      <c r="O208" s="26">
        <f t="shared" si="98"/>
        <v>4081567.9400000004</v>
      </c>
      <c r="P208" s="26">
        <f t="shared" si="98"/>
        <v>68432.059999999969</v>
      </c>
      <c r="Q208" s="22">
        <f>Q210</f>
        <v>0</v>
      </c>
      <c r="R208" s="26">
        <f t="shared" si="98"/>
        <v>3847926.1799999997</v>
      </c>
      <c r="S208" s="26">
        <f t="shared" si="98"/>
        <v>2590899.9899999998</v>
      </c>
      <c r="T208" s="26">
        <f t="shared" si="98"/>
        <v>2576546.0300000003</v>
      </c>
      <c r="U208" s="156">
        <f>+IFERROR((R208/N208),0%)</f>
        <v>0.92721112771084335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250000</v>
      </c>
      <c r="N210" s="31">
        <f t="shared" si="99"/>
        <v>3150000</v>
      </c>
      <c r="O210" s="31">
        <f t="shared" si="99"/>
        <v>3098253.3200000003</v>
      </c>
      <c r="P210" s="31">
        <f t="shared" si="99"/>
        <v>51746.679999999964</v>
      </c>
      <c r="Q210" s="31">
        <f t="shared" si="99"/>
        <v>0</v>
      </c>
      <c r="R210" s="31">
        <f t="shared" si="99"/>
        <v>2876651.1799999997</v>
      </c>
      <c r="S210" s="31">
        <f t="shared" si="99"/>
        <v>1786272.9899999998</v>
      </c>
      <c r="T210" s="31">
        <f t="shared" si="99"/>
        <v>1771919.03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804627</v>
      </c>
      <c r="T211" s="31">
        <f t="shared" si="100"/>
        <v>804627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1954655.08</v>
      </c>
      <c r="P214" s="229">
        <f t="shared" si="101"/>
        <v>45344.920000000042</v>
      </c>
      <c r="Q214" s="22">
        <f>Q215</f>
        <v>0</v>
      </c>
      <c r="R214" s="22">
        <f>R215+R216</f>
        <v>1896865.69</v>
      </c>
      <c r="S214" s="22">
        <f>S215+S216</f>
        <v>1238477.97</v>
      </c>
      <c r="T214" s="22">
        <f>T215+T216</f>
        <v>1235192.44</v>
      </c>
      <c r="U214" s="154">
        <f>+IFERROR((R214/N214),0%)</f>
        <v>0.94843284500000002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971340.46</v>
      </c>
      <c r="P215" s="232">
        <f>+N215-O215</f>
        <v>28659.540000000037</v>
      </c>
      <c r="Q215" s="31"/>
      <c r="R215" s="231">
        <f>IFERROR(VLOOKUP(G215,'Base Execução'!$A:$K,7,FALSE),0)</f>
        <v>925590.69</v>
      </c>
      <c r="S215" s="231">
        <f>IFERROR(VLOOKUP(G215,'Base Execução'!$A:$K,9,FALSE),0)</f>
        <v>433850.97</v>
      </c>
      <c r="T215" s="32">
        <f>IFERROR(VLOOKUP(G215,'Base Execução'!$A:$K,11,FALSE),0)</f>
        <v>430565.44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804627</v>
      </c>
      <c r="T216" s="32">
        <f>IFERROR(VLOOKUP(G216,'Base Execução'!$A:$K,11,FALSE),0)</f>
        <v>804627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249121.02</v>
      </c>
      <c r="P218" s="229">
        <f t="shared" si="102"/>
        <v>878.98000000001048</v>
      </c>
      <c r="Q218" s="22">
        <f t="shared" si="102"/>
        <v>0</v>
      </c>
      <c r="R218" s="22">
        <f t="shared" si="102"/>
        <v>246642.48</v>
      </c>
      <c r="S218" s="22">
        <f t="shared" si="102"/>
        <v>16476.61</v>
      </c>
      <c r="T218" s="22">
        <f t="shared" si="102"/>
        <v>16476.61</v>
      </c>
      <c r="U218" s="154">
        <f>+IFERROR((R218/N218),0%)</f>
        <v>0.98656991999999999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249121.02</v>
      </c>
      <c r="P219" s="232">
        <f>+N219-O219</f>
        <v>878.98000000001048</v>
      </c>
      <c r="Q219" s="31"/>
      <c r="R219" s="231">
        <f>IFERROR(VLOOKUP(G219,'Base Execução'!$A:$K,7,FALSE),0)</f>
        <v>246642.48</v>
      </c>
      <c r="S219" s="231">
        <f>IFERROR(VLOOKUP(G219,'Base Execução'!$A:$K,9,FALSE),0)</f>
        <v>16476.61</v>
      </c>
      <c r="T219" s="32">
        <f>IFERROR(VLOOKUP(G219,'Base Execução'!$A:$K,11,FALSE),0)</f>
        <v>16476.61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250000</v>
      </c>
      <c r="N221" s="22">
        <f t="shared" si="103"/>
        <v>1900000</v>
      </c>
      <c r="O221" s="22">
        <f t="shared" si="103"/>
        <v>1877791.84</v>
      </c>
      <c r="P221" s="229">
        <f t="shared" si="103"/>
        <v>22208.159999999916</v>
      </c>
      <c r="Q221" s="22">
        <f t="shared" si="103"/>
        <v>0</v>
      </c>
      <c r="R221" s="22">
        <f t="shared" si="103"/>
        <v>1704418.01</v>
      </c>
      <c r="S221" s="22">
        <f t="shared" si="103"/>
        <v>1335945.4099999999</v>
      </c>
      <c r="T221" s="22">
        <f t="shared" si="103"/>
        <v>1324876.98</v>
      </c>
      <c r="U221" s="154">
        <f>+IFERROR((R221/N221),0%)</f>
        <v>0.89706211052631579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250000</v>
      </c>
      <c r="N222" s="32">
        <f>IFERROR(VLOOKUP(G222,'Base Zero'!$A:$P,16,FALSE),0)</f>
        <v>1900000</v>
      </c>
      <c r="O222" s="32">
        <f>IFERROR(VLOOKUP(G222,'Base Execução'!A:M,6,FALSE),0)+IFERROR(VLOOKUP(G222,'Destaque Liberado pela CPRM'!A:F,6,FALSE),0)</f>
        <v>1877791.84</v>
      </c>
      <c r="P222" s="232">
        <f>+N222-O222</f>
        <v>22208.159999999916</v>
      </c>
      <c r="Q222" s="31"/>
      <c r="R222" s="231">
        <f>IFERROR(VLOOKUP(G222,'Base Execução'!$A:$K,7,FALSE),0)</f>
        <v>1704418.01</v>
      </c>
      <c r="S222" s="231">
        <f>IFERROR(VLOOKUP(G222,'Base Execução'!$A:$K,9,FALSE),0)</f>
        <v>1335945.4099999999</v>
      </c>
      <c r="T222" s="32">
        <f>IFERROR(VLOOKUP(G222,'Base Execução'!$A:$K,11,FALSE),0)</f>
        <v>1324876.98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2610891.96</v>
      </c>
      <c r="P224" s="21">
        <f t="shared" si="104"/>
        <v>35663.040000000095</v>
      </c>
      <c r="Q224" s="22">
        <f t="shared" si="104"/>
        <v>0</v>
      </c>
      <c r="R224" s="21">
        <f t="shared" si="104"/>
        <v>2592136.1800000002</v>
      </c>
      <c r="S224" s="21">
        <f t="shared" si="104"/>
        <v>1173599.17</v>
      </c>
      <c r="T224" s="21">
        <f t="shared" si="104"/>
        <v>1164155.92</v>
      </c>
      <c r="U224" s="156">
        <f>+IFERROR((R224/N224),0%)</f>
        <v>0.97943786545150213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2165492.96</v>
      </c>
      <c r="P227" s="32">
        <f t="shared" si="106"/>
        <v>34507.040000000095</v>
      </c>
      <c r="Q227" s="32">
        <f t="shared" si="106"/>
        <v>0</v>
      </c>
      <c r="R227" s="32">
        <f t="shared" si="106"/>
        <v>2147052.1800000002</v>
      </c>
      <c r="S227" s="32">
        <f t="shared" si="106"/>
        <v>960883.16999999993</v>
      </c>
      <c r="T227" s="32">
        <f t="shared" si="106"/>
        <v>951439.92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445399</v>
      </c>
      <c r="P228" s="32">
        <f t="shared" si="107"/>
        <v>1156</v>
      </c>
      <c r="Q228" s="32">
        <f>Q236+Q243</f>
        <v>0</v>
      </c>
      <c r="R228" s="32">
        <f t="shared" si="107"/>
        <v>445084</v>
      </c>
      <c r="S228" s="32">
        <f t="shared" si="107"/>
        <v>212716</v>
      </c>
      <c r="T228" s="32">
        <f t="shared" si="107"/>
        <v>212716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173159.06</v>
      </c>
      <c r="P233" s="228">
        <f t="shared" si="110"/>
        <v>26840.940000000002</v>
      </c>
      <c r="Q233" s="21">
        <f t="shared" si="110"/>
        <v>0</v>
      </c>
      <c r="R233" s="21">
        <f t="shared" si="110"/>
        <v>170603.59</v>
      </c>
      <c r="S233" s="21">
        <f t="shared" si="110"/>
        <v>139688.12</v>
      </c>
      <c r="T233" s="21">
        <f t="shared" si="110"/>
        <v>139349.41</v>
      </c>
      <c r="U233" s="154">
        <f>+IFERROR((R233/N233),0%)</f>
        <v>0.85301795000000002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173159.06</v>
      </c>
      <c r="P234" s="231">
        <f>+N234-O234</f>
        <v>26840.940000000002</v>
      </c>
      <c r="Q234" s="32"/>
      <c r="R234" s="231">
        <f>IFERROR(VLOOKUP(G234,'Base Execução'!$A:$K,7,FALSE),0)</f>
        <v>170603.59</v>
      </c>
      <c r="S234" s="231">
        <f>IFERROR(VLOOKUP(G234,'Base Execução'!$A:$K,9,FALSE),0)</f>
        <v>139688.12</v>
      </c>
      <c r="T234" s="32">
        <f>IFERROR(VLOOKUP(G234,'Base Execução'!$A:$K,11,FALSE),0)</f>
        <v>139349.41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2016732.9</v>
      </c>
      <c r="P236" s="21">
        <f>SUM(P237:P240)</f>
        <v>8822.1000000000931</v>
      </c>
      <c r="Q236" s="21">
        <f>SUM(Q237:Q239)</f>
        <v>0</v>
      </c>
      <c r="R236" s="21">
        <f>SUM(R237:R240)</f>
        <v>2000532.59</v>
      </c>
      <c r="S236" s="21">
        <f>SUM(S237:S240)</f>
        <v>1029398.84</v>
      </c>
      <c r="T236" s="21">
        <f>SUM(T237:T240)</f>
        <v>1020294.3</v>
      </c>
      <c r="U236" s="154">
        <f>+IFERROR((R236/N236),0%)</f>
        <v>0.98764664005667591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1571333.9</v>
      </c>
      <c r="P238" s="231">
        <f>+N238-O238</f>
        <v>7666.1000000000931</v>
      </c>
      <c r="Q238" s="33"/>
      <c r="R238" s="231">
        <f>IFERROR(VLOOKUP(G238,'Base Execução'!$A:$K,7,FALSE),0)</f>
        <v>1555448.59</v>
      </c>
      <c r="S238" s="231">
        <f>IFERROR(VLOOKUP(G238,'Base Execução'!$A:$K,9,FALSE),0)</f>
        <v>816682.84</v>
      </c>
      <c r="T238" s="32">
        <f>IFERROR(VLOOKUP(G238,'Base Execução'!$A:$K,11,FALSE),0)</f>
        <v>807578.3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445399</v>
      </c>
      <c r="P239" s="231">
        <f>+N239-O239</f>
        <v>1156</v>
      </c>
      <c r="Q239" s="32"/>
      <c r="R239" s="231">
        <f>IFERROR(VLOOKUP(G239,'Base Execução'!$A:$K,7,FALSE),0)</f>
        <v>445084</v>
      </c>
      <c r="S239" s="231">
        <f>IFERROR(VLOOKUP(G239,'Base Execução'!$A:$K,9,FALSE),0)</f>
        <v>212716</v>
      </c>
      <c r="T239" s="32">
        <f>IFERROR(VLOOKUP(G239,'Base Execução'!$A:$K,11,FALSE),0)</f>
        <v>212716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4512.21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4512.21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270000</v>
      </c>
      <c r="N257" s="21">
        <f t="shared" si="117"/>
        <v>8551851</v>
      </c>
      <c r="O257" s="21">
        <f t="shared" si="117"/>
        <v>8404645.2599999998</v>
      </c>
      <c r="P257" s="21">
        <f t="shared" si="117"/>
        <v>147205.73999999982</v>
      </c>
      <c r="Q257" s="22">
        <f t="shared" si="117"/>
        <v>0</v>
      </c>
      <c r="R257" s="21">
        <f t="shared" si="117"/>
        <v>7731140.7400000012</v>
      </c>
      <c r="S257" s="21">
        <f t="shared" si="117"/>
        <v>5595451.79</v>
      </c>
      <c r="T257" s="21">
        <f t="shared" si="117"/>
        <v>5542034.4200000009</v>
      </c>
      <c r="U257" s="156">
        <f>+IFERROR((R257/N257),0%)</f>
        <v>0.90403127229415026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7749301.8200000003</v>
      </c>
      <c r="P259" s="32">
        <f t="shared" si="118"/>
        <v>72549.17999999976</v>
      </c>
      <c r="Q259" s="32">
        <f t="shared" ref="Q259" si="119">Q265+Q269+Q273+Q276</f>
        <v>0</v>
      </c>
      <c r="R259" s="32">
        <f t="shared" si="118"/>
        <v>7392117.3000000007</v>
      </c>
      <c r="S259" s="32">
        <f t="shared" si="118"/>
        <v>5270108.3499999996</v>
      </c>
      <c r="T259" s="32">
        <f t="shared" si="118"/>
        <v>5216690.9800000004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270000</v>
      </c>
      <c r="N260" s="32">
        <f t="shared" si="120"/>
        <v>730000</v>
      </c>
      <c r="O260" s="32">
        <f t="shared" si="120"/>
        <v>655343.43999999994</v>
      </c>
      <c r="P260" s="32">
        <f t="shared" si="120"/>
        <v>74656.560000000056</v>
      </c>
      <c r="Q260" s="32">
        <f t="shared" si="120"/>
        <v>0</v>
      </c>
      <c r="R260" s="32">
        <f t="shared" si="120"/>
        <v>339023.44</v>
      </c>
      <c r="S260" s="32">
        <f t="shared" si="120"/>
        <v>325343.44</v>
      </c>
      <c r="T260" s="32">
        <f t="shared" si="120"/>
        <v>325343.44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300253</v>
      </c>
      <c r="L264" s="22">
        <f t="shared" si="122"/>
        <v>3300252</v>
      </c>
      <c r="M264" s="22">
        <f t="shared" si="122"/>
        <v>270000</v>
      </c>
      <c r="N264" s="22">
        <f t="shared" si="122"/>
        <v>3030252</v>
      </c>
      <c r="O264" s="22">
        <f t="shared" si="122"/>
        <v>2951610.04</v>
      </c>
      <c r="P264" s="22">
        <f t="shared" si="122"/>
        <v>78641.959999999963</v>
      </c>
      <c r="Q264" s="22">
        <f t="shared" si="122"/>
        <v>0</v>
      </c>
      <c r="R264" s="22">
        <f t="shared" si="122"/>
        <v>2595079.3199999998</v>
      </c>
      <c r="S264" s="22">
        <f t="shared" si="122"/>
        <v>1979734.2</v>
      </c>
      <c r="T264" s="22">
        <f t="shared" si="122"/>
        <v>1970215.67</v>
      </c>
      <c r="U264" s="154">
        <f>+IFERROR((R264/N264),0%)</f>
        <v>0.85639059721765709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300253</v>
      </c>
      <c r="L265" s="32">
        <f>IFERROR(VLOOKUP(G265,'Base Zero'!$A:$L,10,FALSE),0)</f>
        <v>2300252</v>
      </c>
      <c r="M265" s="32">
        <f>+L265-N265</f>
        <v>0</v>
      </c>
      <c r="N265" s="32">
        <f>IFERROR(VLOOKUP(G265,'Base Zero'!$A:$P,16,FALSE),0)</f>
        <v>2300252</v>
      </c>
      <c r="O265" s="32">
        <f>IFERROR(VLOOKUP(G265,'Base Execução'!A:M,6,FALSE),0)+IFERROR(VLOOKUP(G265,'Destaque Liberado pela CPRM'!A:F,6,FALSE),0)</f>
        <v>2296266.6</v>
      </c>
      <c r="P265" s="231">
        <f>+N265-O265</f>
        <v>3985.3999999999069</v>
      </c>
      <c r="Q265" s="32"/>
      <c r="R265" s="231">
        <f>IFERROR(VLOOKUP(G265,'Base Execução'!$A:$K,7,FALSE),0)</f>
        <v>2256055.88</v>
      </c>
      <c r="S265" s="231">
        <f>IFERROR(VLOOKUP(G265,'Base Execução'!$A:$K,9,FALSE),0)</f>
        <v>1654390.76</v>
      </c>
      <c r="T265" s="32">
        <f>IFERROR(VLOOKUP(G265,'Base Execução'!$A:$K,11,FALSE),0)</f>
        <v>1644872.23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270000</v>
      </c>
      <c r="N266" s="32">
        <f>IFERROR(VLOOKUP(G266,'Base Zero'!$A:$P,16,FALSE),0)</f>
        <v>730000</v>
      </c>
      <c r="O266" s="32">
        <f>IFERROR(VLOOKUP(G266,'Base Execução'!A:M,6,FALSE),0)+IFERROR(VLOOKUP(G266,'Destaque Liberado pela CPRM'!A:F,6,FALSE),0)</f>
        <v>655343.43999999994</v>
      </c>
      <c r="P266" s="231">
        <f>+N266-O266</f>
        <v>74656.560000000056</v>
      </c>
      <c r="Q266" s="33"/>
      <c r="R266" s="231">
        <f>IFERROR(VLOOKUP(G266,'Base Execução'!$A:$K,7,FALSE),0)</f>
        <v>339023.44</v>
      </c>
      <c r="S266" s="231">
        <f>IFERROR(VLOOKUP(G266,'Base Execução'!$A:$K,9,FALSE),0)</f>
        <v>325343.44</v>
      </c>
      <c r="T266" s="32">
        <f>IFERROR(VLOOKUP(G266,'Base Execução'!$A:$K,11,FALSE),0)</f>
        <v>325343.44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-889327</v>
      </c>
      <c r="L268" s="22">
        <f t="shared" si="123"/>
        <v>4110673</v>
      </c>
      <c r="M268" s="22">
        <f t="shared" si="123"/>
        <v>0</v>
      </c>
      <c r="N268" s="22">
        <f t="shared" si="123"/>
        <v>4110673</v>
      </c>
      <c r="O268" s="22">
        <f t="shared" si="123"/>
        <v>4054207.93</v>
      </c>
      <c r="P268" s="229">
        <f t="shared" si="123"/>
        <v>56465.069999999832</v>
      </c>
      <c r="Q268" s="22">
        <f t="shared" si="123"/>
        <v>0</v>
      </c>
      <c r="R268" s="22">
        <f t="shared" si="123"/>
        <v>3758192.44</v>
      </c>
      <c r="S268" s="22">
        <f t="shared" si="123"/>
        <v>3332644.33</v>
      </c>
      <c r="T268" s="22">
        <f t="shared" si="123"/>
        <v>3299135.66</v>
      </c>
      <c r="U268" s="154">
        <f>+IFERROR((R268/N268),0%)</f>
        <v>0.91425234748665241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-889327</v>
      </c>
      <c r="L269" s="32">
        <f>IFERROR(VLOOKUP(G269,'Base Zero'!$A:$L,10,FALSE),0)</f>
        <v>4110673</v>
      </c>
      <c r="M269" s="32">
        <f>+L269-N269</f>
        <v>0</v>
      </c>
      <c r="N269" s="32">
        <f>IFERROR(VLOOKUP(G269,'Base Zero'!$A:$P,16,FALSE),0)</f>
        <v>4110673</v>
      </c>
      <c r="O269" s="32">
        <f>IFERROR(VLOOKUP(G269,'Base Execução'!A:M,6,FALSE),0)+IFERROR(VLOOKUP(G269,'Destaque Liberado pela CPRM'!A:F,6,FALSE),0)</f>
        <v>4054207.93</v>
      </c>
      <c r="P269" s="231">
        <f>+N269-O269</f>
        <v>56465.069999999832</v>
      </c>
      <c r="Q269" s="32"/>
      <c r="R269" s="231">
        <f>IFERROR(VLOOKUP(G269,'Base Execução'!$A:$K,7,FALSE),0)</f>
        <v>3758192.44</v>
      </c>
      <c r="S269" s="231">
        <f>IFERROR(VLOOKUP(G269,'Base Execução'!$A:$K,9,FALSE),0)</f>
        <v>3332644.33</v>
      </c>
      <c r="T269" s="32">
        <f>IFERROR(VLOOKUP(G269,'Base Execução'!$A:$K,11,FALSE),0)</f>
        <v>3299135.66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398827.29</v>
      </c>
      <c r="P272" s="229">
        <f t="shared" si="124"/>
        <v>12097.710000000021</v>
      </c>
      <c r="Q272" s="22">
        <f t="shared" si="124"/>
        <v>0</v>
      </c>
      <c r="R272" s="22">
        <f t="shared" si="124"/>
        <v>377868.98</v>
      </c>
      <c r="S272" s="22">
        <f t="shared" si="124"/>
        <v>283073.26</v>
      </c>
      <c r="T272" s="22">
        <f t="shared" si="124"/>
        <v>272683.09000000003</v>
      </c>
      <c r="U272" s="154">
        <f>+IFERROR((R272/N272),0%)</f>
        <v>0.91955704812313677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398827.29</v>
      </c>
      <c r="P273" s="231">
        <f>+N273-O273</f>
        <v>12097.710000000021</v>
      </c>
      <c r="Q273" s="32"/>
      <c r="R273" s="231">
        <f>IFERROR(VLOOKUP(G273,'Base Execução'!$A:$K,7,FALSE),0)</f>
        <v>377868.98</v>
      </c>
      <c r="S273" s="231">
        <f>IFERROR(VLOOKUP(G273,'Base Execução'!$A:$K,9,FALSE),0)</f>
        <v>283073.26</v>
      </c>
      <c r="T273" s="32">
        <f>IFERROR(VLOOKUP(G273,'Base Execução'!$A:$K,11,FALSE),0)</f>
        <v>272683.09000000003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1301457.74</v>
      </c>
      <c r="P281" s="21">
        <f t="shared" si="127"/>
        <v>21819.260000000009</v>
      </c>
      <c r="Q281" s="22">
        <f t="shared" si="127"/>
        <v>0</v>
      </c>
      <c r="R281" s="21">
        <f t="shared" si="127"/>
        <v>1292476.47</v>
      </c>
      <c r="S281" s="21">
        <f t="shared" si="127"/>
        <v>1192295.94</v>
      </c>
      <c r="T281" s="21">
        <f t="shared" si="127"/>
        <v>1191886.73</v>
      </c>
      <c r="U281" s="156">
        <f>+IFERROR((R281/N281),0%)</f>
        <v>0.97672404946205515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410586.74</v>
      </c>
      <c r="P283" s="32">
        <f t="shared" si="128"/>
        <v>21322.260000000009</v>
      </c>
      <c r="Q283" s="32">
        <f t="shared" si="128"/>
        <v>0</v>
      </c>
      <c r="R283" s="32">
        <f t="shared" si="128"/>
        <v>401605.47</v>
      </c>
      <c r="S283" s="32">
        <f t="shared" si="128"/>
        <v>325424.94</v>
      </c>
      <c r="T283" s="32">
        <f t="shared" si="128"/>
        <v>325015.73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866871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1301457.74</v>
      </c>
      <c r="P287" s="22">
        <f t="shared" si="130"/>
        <v>21819.260000000009</v>
      </c>
      <c r="Q287" s="22">
        <f t="shared" si="130"/>
        <v>0</v>
      </c>
      <c r="R287" s="22">
        <f t="shared" si="130"/>
        <v>1292476.47</v>
      </c>
      <c r="S287" s="22">
        <f t="shared" si="130"/>
        <v>1192295.94</v>
      </c>
      <c r="T287" s="22">
        <f t="shared" si="130"/>
        <v>1191886.73</v>
      </c>
      <c r="U287" s="154">
        <f>+IFERROR((R287/N287),0%)</f>
        <v>0.97672404946205515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410586.74</v>
      </c>
      <c r="P288" s="231">
        <f>+N288-O288</f>
        <v>21322.260000000009</v>
      </c>
      <c r="Q288" s="32"/>
      <c r="R288" s="231">
        <f>IFERROR(VLOOKUP(G288,'Base Execução'!$A:$K,7,FALSE),0)</f>
        <v>401605.47</v>
      </c>
      <c r="S288" s="231">
        <f>IFERROR(VLOOKUP(G288,'Base Execução'!$A:$K,9,FALSE),0)</f>
        <v>325424.94</v>
      </c>
      <c r="T288" s="32">
        <f>IFERROR(VLOOKUP(G288,'Base Execução'!$A:$K,11,FALSE),0)</f>
        <v>325015.73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866871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196706</v>
      </c>
      <c r="N291" s="21">
        <f t="shared" si="131"/>
        <v>6619683</v>
      </c>
      <c r="O291" s="21">
        <f t="shared" si="131"/>
        <v>6133576.9800000004</v>
      </c>
      <c r="P291" s="21">
        <f t="shared" si="131"/>
        <v>486106.02000000019</v>
      </c>
      <c r="Q291" s="22">
        <f>SUM(Q293:Q295)</f>
        <v>0</v>
      </c>
      <c r="R291" s="21">
        <f t="shared" si="131"/>
        <v>4776597.66</v>
      </c>
      <c r="S291" s="21">
        <f t="shared" si="131"/>
        <v>2498194.2000000007</v>
      </c>
      <c r="T291" s="21">
        <f t="shared" si="131"/>
        <v>2444171.4100000006</v>
      </c>
      <c r="U291" s="156">
        <f>+IFERROR((R291/N291),0%)</f>
        <v>0.72157498478401461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4609783.3899999997</v>
      </c>
      <c r="P293" s="32">
        <f t="shared" si="132"/>
        <v>190216.61000000019</v>
      </c>
      <c r="Q293" s="32">
        <f t="shared" si="132"/>
        <v>0</v>
      </c>
      <c r="R293" s="32">
        <f t="shared" si="132"/>
        <v>3625733.81</v>
      </c>
      <c r="S293" s="32">
        <f t="shared" si="132"/>
        <v>2185268.6500000004</v>
      </c>
      <c r="T293" s="32">
        <f t="shared" si="132"/>
        <v>2135039.6100000003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1007957.15</v>
      </c>
      <c r="P294" s="32">
        <f t="shared" si="133"/>
        <v>108431.85</v>
      </c>
      <c r="Q294" s="32">
        <f t="shared" ref="Q294" si="134">Q303</f>
        <v>0</v>
      </c>
      <c r="R294" s="32">
        <f t="shared" si="133"/>
        <v>665118.25</v>
      </c>
      <c r="S294" s="32">
        <f t="shared" si="133"/>
        <v>148264.12</v>
      </c>
      <c r="T294" s="32">
        <f t="shared" si="133"/>
        <v>148264.12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-160000</v>
      </c>
      <c r="L295" s="32">
        <f t="shared" si="135"/>
        <v>540000</v>
      </c>
      <c r="M295" s="32">
        <f t="shared" si="135"/>
        <v>0</v>
      </c>
      <c r="N295" s="32">
        <f t="shared" si="135"/>
        <v>540000</v>
      </c>
      <c r="O295" s="32">
        <f t="shared" si="135"/>
        <v>512542.69</v>
      </c>
      <c r="P295" s="32">
        <f t="shared" si="135"/>
        <v>27457.309999999998</v>
      </c>
      <c r="Q295" s="32">
        <f t="shared" ref="Q295" si="136">Q304</f>
        <v>0</v>
      </c>
      <c r="R295" s="32">
        <f t="shared" si="135"/>
        <v>482451.85</v>
      </c>
      <c r="S295" s="32">
        <f t="shared" si="135"/>
        <v>161367.67999999999</v>
      </c>
      <c r="T295" s="32">
        <f t="shared" si="135"/>
        <v>160867.68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H325</f>
        <v>0</v>
      </c>
      <c r="I296" s="32">
        <f t="shared" ref="I296:T296" si="137">I325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196706</v>
      </c>
      <c r="N296" s="32">
        <f t="shared" si="137"/>
        <v>3294</v>
      </c>
      <c r="O296" s="32">
        <f t="shared" si="137"/>
        <v>3293.75</v>
      </c>
      <c r="P296" s="32">
        <f t="shared" si="137"/>
        <v>0.25</v>
      </c>
      <c r="Q296" s="32"/>
      <c r="R296" s="32">
        <f t="shared" si="137"/>
        <v>3293.75</v>
      </c>
      <c r="S296" s="32">
        <f t="shared" si="137"/>
        <v>3293.75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H305+H322</f>
        <v>0</v>
      </c>
      <c r="I297" s="32">
        <f t="shared" ref="I297:T297" si="138">I305+I322</f>
        <v>0</v>
      </c>
      <c r="J297" s="32">
        <f t="shared" si="138"/>
        <v>0</v>
      </c>
      <c r="K297" s="32">
        <f t="shared" si="138"/>
        <v>160000</v>
      </c>
      <c r="L297" s="32">
        <f t="shared" si="138"/>
        <v>160000</v>
      </c>
      <c r="M297" s="32">
        <f t="shared" si="138"/>
        <v>0</v>
      </c>
      <c r="N297" s="32">
        <f t="shared" si="138"/>
        <v>160000</v>
      </c>
      <c r="O297" s="32">
        <f t="shared" si="138"/>
        <v>0</v>
      </c>
      <c r="P297" s="32">
        <f t="shared" si="138"/>
        <v>160000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138623.75</v>
      </c>
      <c r="S301" s="21">
        <f>SUM(S302:S306)</f>
        <v>125543.11</v>
      </c>
      <c r="T301" s="21">
        <f>SUM(T302:T306)</f>
        <v>124552.05</v>
      </c>
      <c r="U301" s="154">
        <f>+IFERROR((R301/N301),0%)</f>
        <v>0.69311875000000001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138623.75</v>
      </c>
      <c r="S302" s="231">
        <f>IFERROR(VLOOKUP(G302,'Base Execução'!$A:$K,9,FALSE),0)</f>
        <v>125543.11</v>
      </c>
      <c r="T302" s="32">
        <f>IFERROR(VLOOKUP(G302,'Base Execução'!$A:$K,11,FALSE),0)</f>
        <v>124552.05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4176868.55</v>
      </c>
      <c r="P308" s="22">
        <f t="shared" si="141"/>
        <v>39520.450000000186</v>
      </c>
      <c r="Q308" s="33"/>
      <c r="R308" s="22">
        <f t="shared" ref="R308" si="142">SUM(R309:R310)</f>
        <v>2930734.19</v>
      </c>
      <c r="S308" s="22">
        <f t="shared" ref="S308" si="143">SUM(S309:S310)</f>
        <v>1305514.8399999999</v>
      </c>
      <c r="T308" s="22">
        <f t="shared" ref="T308" si="144">SUM(T309:T310)</f>
        <v>1284145.44</v>
      </c>
      <c r="U308" s="154">
        <f>+IFERROR((R308/N308),0%)</f>
        <v>0.69508154726710458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3284726.3</v>
      </c>
      <c r="P309" s="231">
        <f>+N309-O309</f>
        <v>15273.700000000186</v>
      </c>
      <c r="Q309" s="32"/>
      <c r="R309" s="231">
        <f>IFERROR(VLOOKUP(G309,'Base Execução'!$A:$K,7,FALSE),0)</f>
        <v>2381241.94</v>
      </c>
      <c r="S309" s="231">
        <f>IFERROR(VLOOKUP(G309,'Base Execução'!$A:$K,9,FALSE),0)</f>
        <v>1227876.7</v>
      </c>
      <c r="T309" s="32">
        <f>IFERROR(VLOOKUP(G309,'Base Execução'!$A:$K,11,FALSE),0)</f>
        <v>1206507.3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892142.25</v>
      </c>
      <c r="P310" s="231">
        <f>+N310-O310</f>
        <v>24246.75</v>
      </c>
      <c r="Q310" s="32"/>
      <c r="R310" s="231">
        <f>IFERROR(VLOOKUP(G310,'Base Execução'!$A:$K,7,FALSE),0)</f>
        <v>549492.25</v>
      </c>
      <c r="S310" s="231">
        <f>IFERROR(VLOOKUP(G310,'Base Execução'!$A:$K,9,FALSE),0)</f>
        <v>77638.14</v>
      </c>
      <c r="T310" s="32">
        <f>IFERROR(VLOOKUP(G310,'Base Execução'!$A:$K,11,FALSE),0)</f>
        <v>77638.14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699637.21</v>
      </c>
      <c r="S312" s="22">
        <f t="shared" ref="S312" si="147">SUM(S313:S314)</f>
        <v>457246.54</v>
      </c>
      <c r="T312" s="22">
        <f t="shared" ref="T312" si="148">SUM(T313:T314)</f>
        <v>429377.95999999996</v>
      </c>
      <c r="U312" s="154">
        <f>+IFERROR((R312/N312),0%)</f>
        <v>0.87454651249999993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684011.21</v>
      </c>
      <c r="S313" s="231">
        <f>IFERROR(VLOOKUP(G313,'Base Execução'!$A:$K,9,FALSE),0)</f>
        <v>453620.56</v>
      </c>
      <c r="T313" s="32">
        <f>IFERROR(VLOOKUP(G313,'Base Execução'!$A:$K,11,FALSE),0)</f>
        <v>425751.98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3625.98</v>
      </c>
      <c r="T314" s="32">
        <f>IFERROR(VLOOKUP(G314,'Base Execução'!$A:$K,11,FALSE),0)</f>
        <v>3625.98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558777.36</v>
      </c>
      <c r="P316" s="22">
        <f t="shared" si="149"/>
        <v>141222.64000000001</v>
      </c>
      <c r="Q316" s="33"/>
      <c r="R316" s="22">
        <f t="shared" ref="R316" si="150">SUM(R317:R318)</f>
        <v>521856.91</v>
      </c>
      <c r="S316" s="22">
        <f t="shared" ref="S316" si="151">SUM(S317:S318)</f>
        <v>445228.28</v>
      </c>
      <c r="T316" s="22">
        <f t="shared" ref="T316" si="152">SUM(T317:T318)</f>
        <v>445228.28</v>
      </c>
      <c r="U316" s="154">
        <f>+IFERROR((R316/N316),0%)</f>
        <v>0.74550987142857139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458777.36</v>
      </c>
      <c r="P317" s="231">
        <f>+N317-O317</f>
        <v>141222.64000000001</v>
      </c>
      <c r="Q317" s="32"/>
      <c r="R317" s="231">
        <f>IFERROR(VLOOKUP(G317,'Base Execução'!$A:$K,7,FALSE),0)</f>
        <v>421856.91</v>
      </c>
      <c r="S317" s="231">
        <f>IFERROR(VLOOKUP(G317,'Base Execução'!$A:$K,9,FALSE),0)</f>
        <v>378228.28</v>
      </c>
      <c r="T317" s="32">
        <f>IFERROR(VLOOKUP(G317,'Base Execução'!$A:$K,11,FALSE),0)</f>
        <v>378228.28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67000</v>
      </c>
      <c r="T318" s="32">
        <f>IFERROR(VLOOKUP(G318,'Base Execução'!$A:$K,11,FALSE),0)</f>
        <v>67000</v>
      </c>
      <c r="U318" s="155"/>
    </row>
    <row r="319" spans="1:33" s="11" customFormat="1" ht="24.95" customHeight="1" x14ac:dyDescent="0.2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356</v>
      </c>
      <c r="C320" s="269"/>
      <c r="D320" s="36"/>
      <c r="E320" s="35"/>
      <c r="F320" s="37"/>
      <c r="G320" s="33"/>
      <c r="H320" s="22">
        <f>SUM(H321:H322)</f>
        <v>700000</v>
      </c>
      <c r="I320" s="22">
        <f t="shared" ref="I320:P320" si="153">SUM(I321:I322)</f>
        <v>0</v>
      </c>
      <c r="J320" s="22">
        <f t="shared" si="153"/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512542.69</v>
      </c>
      <c r="P320" s="22">
        <f t="shared" si="153"/>
        <v>187457.31</v>
      </c>
      <c r="Q320" s="33"/>
      <c r="R320" s="22">
        <f t="shared" ref="R320" si="154">SUM(R321:R322)</f>
        <v>482451.85</v>
      </c>
      <c r="S320" s="22">
        <f t="shared" ref="S320" si="155">SUM(S321:S322)</f>
        <v>161367.67999999999</v>
      </c>
      <c r="T320" s="22">
        <f t="shared" ref="T320" si="156">SUM(T321:T322)</f>
        <v>160867.68</v>
      </c>
      <c r="U320" s="154">
        <f>+IFERROR((R320/N320),0%)</f>
        <v>0.68921692857142858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-160000</v>
      </c>
      <c r="L321" s="32">
        <f>IFERROR(VLOOKUP(G321,'Base Zero'!$A:$L,10,FALSE),0)</f>
        <v>540000</v>
      </c>
      <c r="M321" s="32">
        <f>+L321-N321</f>
        <v>0</v>
      </c>
      <c r="N321" s="32">
        <f>IFERROR(VLOOKUP(G321,'Base Zero'!$A:$P,16,FALSE),0)</f>
        <v>540000</v>
      </c>
      <c r="O321" s="32">
        <f>IFERROR(VLOOKUP(G321,'Base Execução'!A:M,6,FALSE),0)+IFERROR(VLOOKUP(G321,'Destaque Liberado pela CPRM'!A:F,6,FALSE),0)</f>
        <v>512542.69</v>
      </c>
      <c r="P321" s="231">
        <f>+N321-O321</f>
        <v>27457.309999999998</v>
      </c>
      <c r="Q321" s="32"/>
      <c r="R321" s="231">
        <f>IFERROR(VLOOKUP(G321,'Base Execução'!$A:$K,7,FALSE),0)</f>
        <v>482451.85</v>
      </c>
      <c r="S321" s="231">
        <f>IFERROR(VLOOKUP(G321,'Base Execução'!$A:$K,9,FALSE),0)</f>
        <v>161367.67999999999</v>
      </c>
      <c r="T321" s="32">
        <f>IFERROR(VLOOKUP(G321,'Base Execução'!$A:$K,11,FALSE),0)</f>
        <v>160867.68</v>
      </c>
      <c r="U321" s="155"/>
    </row>
    <row r="322" spans="1:33" ht="15" customHeight="1" x14ac:dyDescent="0.2">
      <c r="A322" s="95"/>
      <c r="B322" s="314" t="s">
        <v>26</v>
      </c>
      <c r="C322" s="269" t="s">
        <v>24</v>
      </c>
      <c r="D322" s="39">
        <v>204817</v>
      </c>
      <c r="E322" s="269">
        <v>3</v>
      </c>
      <c r="F322" s="313">
        <v>350</v>
      </c>
      <c r="G322" s="40" t="str">
        <f>CONCATENATE(D322,"-",E322,"-",F322)</f>
        <v>204817-3-350</v>
      </c>
      <c r="H322" s="32">
        <f>IFERROR(VLOOKUP(G322,'Base Zero'!A:L,6,FALSE),0)</f>
        <v>0</v>
      </c>
      <c r="I322" s="32">
        <f>IFERROR(VLOOKUP(G322,'Base Zero'!A:L,7,FALSE),0)</f>
        <v>0</v>
      </c>
      <c r="J322" s="23">
        <f>(H322+I322)</f>
        <v>0</v>
      </c>
      <c r="K322" s="32">
        <f>(L322-J322)</f>
        <v>160000</v>
      </c>
      <c r="L322" s="32">
        <f>IFERROR(VLOOKUP(G322,'Base Zero'!$A:$L,10,FALSE),0)</f>
        <v>160000</v>
      </c>
      <c r="M322" s="32">
        <f>+L322-N322</f>
        <v>0</v>
      </c>
      <c r="N322" s="32">
        <f>IFERROR(VLOOKUP(G322,'Base Zero'!$A:$P,16,FALSE),0)</f>
        <v>160000</v>
      </c>
      <c r="O322" s="32">
        <f>IFERROR(VLOOKUP(G322,'Base Execução'!A:M,6,FALSE),0)+IFERROR(VLOOKUP(G322,'Destaque Liberado pela CPRM'!A:F,6,FALSE),0)</f>
        <v>0</v>
      </c>
      <c r="P322" s="231">
        <f>+N322-O322</f>
        <v>160000</v>
      </c>
      <c r="Q322" s="32"/>
      <c r="R322" s="231">
        <f>IFERROR(VLOOKUP(G322,'Base Execução'!$A:$K,7,FALSE),0)</f>
        <v>0</v>
      </c>
      <c r="S322" s="231">
        <f>IFERROR(VLOOKUP(G322,'Base Execução'!$A:$K,9,FALSE),0)</f>
        <v>0</v>
      </c>
      <c r="T322" s="32">
        <f>IFERROR(VLOOKUP(G322,'Base Execução'!$A:$K,11,FALSE),0)</f>
        <v>0</v>
      </c>
      <c r="U322" s="155"/>
    </row>
    <row r="323" spans="1:33" s="11" customFormat="1" ht="24.95" customHeight="1" x14ac:dyDescent="0.2">
      <c r="A323" s="95"/>
      <c r="B323" s="424" t="s">
        <v>357</v>
      </c>
      <c r="C323" s="278"/>
      <c r="D323" s="40"/>
      <c r="E323" s="278"/>
      <c r="F323" s="279"/>
      <c r="G323" s="40"/>
      <c r="H323" s="32"/>
      <c r="I323" s="32"/>
      <c r="J323" s="32"/>
      <c r="K323" s="32"/>
      <c r="L323" s="32"/>
      <c r="M323" s="32"/>
      <c r="N323" s="32"/>
      <c r="O323" s="32"/>
      <c r="P323" s="231"/>
      <c r="Q323" s="33"/>
      <c r="R323" s="231"/>
      <c r="S323" s="231"/>
      <c r="T323" s="32"/>
      <c r="U323" s="155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 customHeight="1" x14ac:dyDescent="0.2">
      <c r="A324" s="95"/>
      <c r="B324" s="38" t="s">
        <v>358</v>
      </c>
      <c r="C324" s="269"/>
      <c r="D324" s="36"/>
      <c r="E324" s="35"/>
      <c r="F324" s="37"/>
      <c r="G324" s="33"/>
      <c r="H324" s="22">
        <f>SUM(H325:H325)</f>
        <v>0</v>
      </c>
      <c r="I324" s="22">
        <f>SUM(I325:I325)</f>
        <v>0</v>
      </c>
      <c r="J324" s="22">
        <f t="shared" ref="J324:P324" si="157">SUM(J325:J325)</f>
        <v>0</v>
      </c>
      <c r="K324" s="22">
        <f t="shared" si="157"/>
        <v>200000</v>
      </c>
      <c r="L324" s="22">
        <f t="shared" si="157"/>
        <v>200000</v>
      </c>
      <c r="M324" s="22">
        <f t="shared" si="157"/>
        <v>196706</v>
      </c>
      <c r="N324" s="22">
        <f t="shared" si="157"/>
        <v>3294</v>
      </c>
      <c r="O324" s="22">
        <f t="shared" si="157"/>
        <v>3293.75</v>
      </c>
      <c r="P324" s="229">
        <f t="shared" si="157"/>
        <v>0.25</v>
      </c>
      <c r="Q324" s="32"/>
      <c r="R324" s="229">
        <f>SUM(R325:R325)</f>
        <v>3293.75</v>
      </c>
      <c r="S324" s="229">
        <f>SUM(S325:S325)</f>
        <v>3293.75</v>
      </c>
      <c r="T324" s="22">
        <f>SUM(T325:T325)</f>
        <v>0</v>
      </c>
      <c r="U324" s="154">
        <f>+IFERROR((R324/N324),0%)</f>
        <v>0.99992410443230118</v>
      </c>
    </row>
    <row r="325" spans="1:33" ht="15" customHeight="1" x14ac:dyDescent="0.2">
      <c r="A325" s="95"/>
      <c r="B325" s="314" t="s">
        <v>26</v>
      </c>
      <c r="C325" s="269" t="s">
        <v>24</v>
      </c>
      <c r="D325" s="39">
        <v>213406</v>
      </c>
      <c r="E325" s="269">
        <v>3</v>
      </c>
      <c r="F325" s="313">
        <v>188</v>
      </c>
      <c r="G325" s="40" t="str">
        <f>CONCATENATE(D325,"-",E325,"-",F325)</f>
        <v>213406-3-188</v>
      </c>
      <c r="H325" s="32">
        <f>IFERROR(VLOOKUP(G325,'Base Zero'!A:L,6,FALSE),0)</f>
        <v>0</v>
      </c>
      <c r="I325" s="32">
        <f>IFERROR(VLOOKUP(G325,'Base Zero'!A:L,7,FALSE),0)</f>
        <v>0</v>
      </c>
      <c r="J325" s="23">
        <f>(H325+I325)</f>
        <v>0</v>
      </c>
      <c r="K325" s="32">
        <f>(L325-J325)</f>
        <v>200000</v>
      </c>
      <c r="L325" s="32">
        <f>IFERROR(VLOOKUP(G325,'Base Zero'!$A:$L,10,FALSE),0)</f>
        <v>200000</v>
      </c>
      <c r="M325" s="32">
        <f>+L325-N325</f>
        <v>196706</v>
      </c>
      <c r="N325" s="32">
        <f>IFERROR(VLOOKUP(G325,'Base Zero'!$A:$P,16,FALSE),0)</f>
        <v>3294</v>
      </c>
      <c r="O325" s="32">
        <f>IFERROR(VLOOKUP(G325,'Base Execução'!A:M,6,FALSE),0)+IFERROR(VLOOKUP(G325,'Destaque Liberado pela CPRM'!A:F,6,FALSE),0)</f>
        <v>3293.75</v>
      </c>
      <c r="P325" s="231">
        <f>+N325-O325</f>
        <v>0.25</v>
      </c>
      <c r="Q325" s="32"/>
      <c r="R325" s="231">
        <f>IFERROR(VLOOKUP(G325,'Base Execução'!$A:$K,7,FALSE),0)</f>
        <v>3293.75</v>
      </c>
      <c r="S325" s="231">
        <f>IFERROR(VLOOKUP(G325,'Base Execução'!$A:$K,9,FALSE),0)</f>
        <v>3293.75</v>
      </c>
      <c r="T325" s="32">
        <f>IFERROR(VLOOKUP(G325,'Base Execução'!$A:$K,11,FALSE),0)</f>
        <v>0</v>
      </c>
      <c r="U325" s="155"/>
    </row>
    <row r="326" spans="1:33" ht="15" customHeight="1" x14ac:dyDescent="0.2">
      <c r="A326" s="95"/>
      <c r="B326" s="314"/>
      <c r="C326" s="269"/>
      <c r="D326" s="39"/>
      <c r="E326" s="269"/>
      <c r="F326" s="313"/>
      <c r="G326" s="40"/>
      <c r="H326" s="32"/>
      <c r="I326" s="32"/>
      <c r="J326" s="23"/>
      <c r="K326" s="32"/>
      <c r="L326" s="32"/>
      <c r="M326" s="32"/>
      <c r="N326" s="32"/>
      <c r="O326" s="32"/>
      <c r="P326" s="231"/>
      <c r="Q326" s="32"/>
      <c r="R326" s="231"/>
      <c r="S326" s="231"/>
      <c r="T326" s="32"/>
      <c r="U326" s="155"/>
    </row>
    <row r="327" spans="1:33" s="11" customFormat="1" ht="15" customHeight="1" x14ac:dyDescent="0.2">
      <c r="A327" s="95"/>
      <c r="B327" s="312"/>
      <c r="C327" s="48"/>
      <c r="D327" s="49"/>
      <c r="E327" s="48"/>
      <c r="F327" s="317"/>
      <c r="G327" s="49"/>
      <c r="H327" s="42"/>
      <c r="I327" s="42"/>
      <c r="J327" s="24"/>
      <c r="K327" s="42"/>
      <c r="L327" s="42"/>
      <c r="M327" s="42"/>
      <c r="N327" s="42"/>
      <c r="O327" s="42"/>
      <c r="P327" s="265"/>
      <c r="Q327" s="35"/>
      <c r="R327" s="265"/>
      <c r="S327" s="265"/>
      <c r="T327" s="42"/>
      <c r="U327" s="300"/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24.95" customHeight="1" x14ac:dyDescent="0.2">
      <c r="A328" s="272"/>
      <c r="B328" s="20" t="s">
        <v>281</v>
      </c>
      <c r="C328" s="269"/>
      <c r="D328" s="39"/>
      <c r="E328" s="269"/>
      <c r="F328" s="44"/>
      <c r="G328" s="269"/>
      <c r="H328" s="22">
        <f>SUM(H330:H331)</f>
        <v>10700000</v>
      </c>
      <c r="I328" s="22">
        <f t="shared" ref="I328:T328" si="158">SUM(I330:I331)</f>
        <v>0</v>
      </c>
      <c r="J328" s="22">
        <f t="shared" si="158"/>
        <v>10700000</v>
      </c>
      <c r="K328" s="22">
        <f t="shared" si="158"/>
        <v>789000</v>
      </c>
      <c r="L328" s="22">
        <f t="shared" si="158"/>
        <v>11489000</v>
      </c>
      <c r="M328" s="22">
        <f t="shared" si="158"/>
        <v>291159.70999999996</v>
      </c>
      <c r="N328" s="22">
        <f t="shared" si="158"/>
        <v>11197840.289999999</v>
      </c>
      <c r="O328" s="22">
        <f t="shared" si="158"/>
        <v>10877084.98</v>
      </c>
      <c r="P328" s="22">
        <f t="shared" si="158"/>
        <v>320755.30999999982</v>
      </c>
      <c r="Q328" s="22">
        <f t="shared" si="158"/>
        <v>0</v>
      </c>
      <c r="R328" s="22">
        <f t="shared" si="158"/>
        <v>10385930.619999999</v>
      </c>
      <c r="S328" s="22">
        <f t="shared" si="158"/>
        <v>7154578.1600000001</v>
      </c>
      <c r="T328" s="22">
        <f t="shared" si="158"/>
        <v>7081334.6200000001</v>
      </c>
      <c r="U328" s="156">
        <f>+IFERROR((R328/N328),0%)</f>
        <v>0.92749408377211284</v>
      </c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294" t="s">
        <v>325</v>
      </c>
      <c r="C329" s="269"/>
      <c r="D329" s="39"/>
      <c r="E329" s="269"/>
      <c r="F329" s="44"/>
      <c r="G329" s="269"/>
      <c r="H329" s="31"/>
      <c r="I329" s="31"/>
      <c r="J329" s="31"/>
      <c r="K329" s="31"/>
      <c r="L329" s="31"/>
      <c r="M329" s="31"/>
      <c r="N329" s="31"/>
      <c r="O329" s="31"/>
      <c r="P329" s="232"/>
      <c r="Q329" s="35"/>
      <c r="R329" s="232"/>
      <c r="S329" s="232"/>
      <c r="T329" s="31"/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23</v>
      </c>
      <c r="C330" s="269" t="s">
        <v>24</v>
      </c>
      <c r="D330" s="39"/>
      <c r="E330" s="269">
        <v>3</v>
      </c>
      <c r="F330" s="44">
        <v>142</v>
      </c>
      <c r="G330" s="39"/>
      <c r="H330" s="31">
        <f>H335+H339+H343+H346+H349+H352</f>
        <v>8700000</v>
      </c>
      <c r="I330" s="31">
        <f t="shared" ref="I330:T330" si="159">I335+I339+I343+I346+I349+I352</f>
        <v>0</v>
      </c>
      <c r="J330" s="31">
        <f t="shared" si="159"/>
        <v>8700000</v>
      </c>
      <c r="K330" s="31">
        <f t="shared" si="159"/>
        <v>789000</v>
      </c>
      <c r="L330" s="31">
        <f t="shared" si="159"/>
        <v>9489000</v>
      </c>
      <c r="M330" s="31">
        <f t="shared" si="159"/>
        <v>0</v>
      </c>
      <c r="N330" s="31">
        <f t="shared" si="159"/>
        <v>9489000</v>
      </c>
      <c r="O330" s="31">
        <f t="shared" si="159"/>
        <v>9168244.6899999995</v>
      </c>
      <c r="P330" s="31">
        <f t="shared" si="159"/>
        <v>320755.30999999982</v>
      </c>
      <c r="Q330" s="31">
        <f t="shared" si="159"/>
        <v>0</v>
      </c>
      <c r="R330" s="31">
        <f t="shared" si="159"/>
        <v>8753757.9499999993</v>
      </c>
      <c r="S330" s="31">
        <f t="shared" si="159"/>
        <v>5643300.4900000002</v>
      </c>
      <c r="T330" s="31">
        <f t="shared" si="159"/>
        <v>5570056.9500000002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4" t="s">
        <v>26</v>
      </c>
      <c r="C331" s="269" t="s">
        <v>27</v>
      </c>
      <c r="D331" s="39"/>
      <c r="E331" s="269">
        <v>4</v>
      </c>
      <c r="F331" s="44">
        <v>142</v>
      </c>
      <c r="G331" s="39"/>
      <c r="H331" s="31">
        <f>H336+H340</f>
        <v>2000000</v>
      </c>
      <c r="I331" s="31">
        <f t="shared" ref="I331:T331" si="160">I336+I340</f>
        <v>0</v>
      </c>
      <c r="J331" s="31">
        <f t="shared" si="160"/>
        <v>2000000</v>
      </c>
      <c r="K331" s="31">
        <f t="shared" si="160"/>
        <v>0</v>
      </c>
      <c r="L331" s="31">
        <f t="shared" si="160"/>
        <v>2000000</v>
      </c>
      <c r="M331" s="31">
        <f t="shared" si="160"/>
        <v>291159.70999999996</v>
      </c>
      <c r="N331" s="31">
        <f t="shared" si="160"/>
        <v>1708840.29</v>
      </c>
      <c r="O331" s="31">
        <f t="shared" si="160"/>
        <v>1708840.29</v>
      </c>
      <c r="P331" s="31">
        <f t="shared" si="160"/>
        <v>0</v>
      </c>
      <c r="Q331" s="31">
        <f>Q336</f>
        <v>0</v>
      </c>
      <c r="R331" s="31">
        <f t="shared" si="160"/>
        <v>1632172.67</v>
      </c>
      <c r="S331" s="31">
        <f t="shared" si="160"/>
        <v>1511277.67</v>
      </c>
      <c r="T331" s="31">
        <f t="shared" si="160"/>
        <v>1511277.67</v>
      </c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11" customFormat="1" ht="15" customHeight="1" x14ac:dyDescent="0.2">
      <c r="A332" s="272"/>
      <c r="B332" s="302"/>
      <c r="C332" s="269"/>
      <c r="D332" s="39"/>
      <c r="E332" s="269"/>
      <c r="F332" s="44"/>
      <c r="G332" s="26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  <c r="V332" s="364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 customHeight="1" x14ac:dyDescent="0.2">
      <c r="A333" s="272"/>
      <c r="B333" s="424" t="s">
        <v>282</v>
      </c>
      <c r="C333" s="269"/>
      <c r="D333" s="281"/>
      <c r="E333" s="269"/>
      <c r="F333" s="44"/>
      <c r="G333" s="39"/>
      <c r="H333" s="31"/>
      <c r="I333" s="31"/>
      <c r="J333" s="28"/>
      <c r="K333" s="31"/>
      <c r="L333" s="31"/>
      <c r="M333" s="31"/>
      <c r="N333" s="31"/>
      <c r="O333" s="31"/>
      <c r="P333" s="232"/>
      <c r="Q333" s="35"/>
      <c r="R333" s="232"/>
      <c r="S333" s="232"/>
      <c r="T333" s="31"/>
      <c r="U333" s="298"/>
    </row>
    <row r="334" spans="1:33" ht="15" customHeight="1" x14ac:dyDescent="0.2">
      <c r="A334" s="272"/>
      <c r="B334" s="38" t="s">
        <v>220</v>
      </c>
      <c r="C334" s="308"/>
      <c r="D334" s="307"/>
      <c r="E334" s="308"/>
      <c r="F334" s="303"/>
      <c r="G334" s="39"/>
      <c r="H334" s="30">
        <f t="shared" ref="H334:T334" si="161">SUM(H335:H336)</f>
        <v>3190000</v>
      </c>
      <c r="I334" s="30">
        <f t="shared" si="161"/>
        <v>0</v>
      </c>
      <c r="J334" s="30">
        <f t="shared" si="161"/>
        <v>3190000</v>
      </c>
      <c r="K334" s="30">
        <f t="shared" si="161"/>
        <v>2050000</v>
      </c>
      <c r="L334" s="30">
        <f t="shared" si="161"/>
        <v>5240000</v>
      </c>
      <c r="M334" s="30">
        <f t="shared" si="161"/>
        <v>290879.70999999996</v>
      </c>
      <c r="N334" s="30">
        <f t="shared" si="161"/>
        <v>4949120.29</v>
      </c>
      <c r="O334" s="30">
        <f t="shared" si="161"/>
        <v>4820172.3499999996</v>
      </c>
      <c r="P334" s="30">
        <f t="shared" si="161"/>
        <v>128947.93999999994</v>
      </c>
      <c r="Q334" s="30">
        <f t="shared" si="161"/>
        <v>0</v>
      </c>
      <c r="R334" s="30">
        <f t="shared" si="161"/>
        <v>4710612.7799999993</v>
      </c>
      <c r="S334" s="30">
        <f t="shared" si="161"/>
        <v>3655399.89</v>
      </c>
      <c r="T334" s="30">
        <f t="shared" si="161"/>
        <v>3653417.77</v>
      </c>
      <c r="U334" s="154">
        <f>+IFERROR((R334/N334),0%)</f>
        <v>0.95180810002094318</v>
      </c>
    </row>
    <row r="335" spans="1:33" ht="15" customHeight="1" x14ac:dyDescent="0.2">
      <c r="A335" s="272"/>
      <c r="B335" s="34" t="s">
        <v>26</v>
      </c>
      <c r="C335" s="308" t="s">
        <v>24</v>
      </c>
      <c r="D335" s="281">
        <v>174242</v>
      </c>
      <c r="E335" s="308">
        <v>3</v>
      </c>
      <c r="F335" s="220">
        <v>142</v>
      </c>
      <c r="G335" s="39" t="str">
        <f>CONCATENATE(D335,"-",E335,"-",F335)</f>
        <v>174242-3-142</v>
      </c>
      <c r="H335" s="31">
        <f>IFERROR(VLOOKUP(G335,'Base Zero'!A:L,6,FALSE),0)</f>
        <v>1490000</v>
      </c>
      <c r="I335" s="31">
        <f>IFERROR(VLOOKUP(G335,'Base Zero'!A:L,7,FALSE),0)</f>
        <v>0</v>
      </c>
      <c r="J335" s="28">
        <f>(H335+I335)</f>
        <v>1490000</v>
      </c>
      <c r="K335" s="31">
        <f>(L335-J335)</f>
        <v>2050000</v>
      </c>
      <c r="L335" s="31">
        <f>IFERROR(VLOOKUP(G335,'Base Zero'!$A:$L,10,FALSE),0)</f>
        <v>3540000</v>
      </c>
      <c r="M335" s="31">
        <f>+L335-N335</f>
        <v>0</v>
      </c>
      <c r="N335" s="32">
        <f>IFERROR(VLOOKUP(G335,'Base Zero'!$A:$P,16,FALSE),0)</f>
        <v>3540000</v>
      </c>
      <c r="O335" s="32">
        <f>IFERROR(VLOOKUP(G335,'Base Execução'!A:M,6,FALSE),0)+IFERROR(VLOOKUP(G335,'Destaque Liberado pela CPRM'!A:F,6,FALSE),0)</f>
        <v>3411052.06</v>
      </c>
      <c r="P335" s="232">
        <f>+N335-O335</f>
        <v>128947.93999999994</v>
      </c>
      <c r="Q335" s="35"/>
      <c r="R335" s="231">
        <f>IFERROR(VLOOKUP(G335,'Base Execução'!$A:$K,7,FALSE),0)</f>
        <v>3378160.11</v>
      </c>
      <c r="S335" s="231">
        <f>IFERROR(VLOOKUP(G335,'Base Execução'!$A:$K,9,FALSE),0)</f>
        <v>2443842.2200000002</v>
      </c>
      <c r="T335" s="32">
        <f>IFERROR(VLOOKUP(G335,'Base Execução'!$A:$K,11,FALSE),0)</f>
        <v>2441860.1</v>
      </c>
      <c r="U335" s="298"/>
    </row>
    <row r="336" spans="1:33" ht="15" customHeight="1" x14ac:dyDescent="0.2">
      <c r="A336" s="272"/>
      <c r="B336" s="34" t="s">
        <v>26</v>
      </c>
      <c r="C336" s="269" t="s">
        <v>27</v>
      </c>
      <c r="D336" s="281">
        <v>174242</v>
      </c>
      <c r="E336" s="269">
        <v>4</v>
      </c>
      <c r="F336" s="44">
        <v>142</v>
      </c>
      <c r="G336" s="39" t="str">
        <f>CONCATENATE(D336,"-",E336,"-",F336)</f>
        <v>174242-4-142</v>
      </c>
      <c r="H336" s="31">
        <f>IFERROR(VLOOKUP(G336,'Base Zero'!A:L,6,FALSE),0)</f>
        <v>1700000</v>
      </c>
      <c r="I336" s="31">
        <f>IFERROR(VLOOKUP(G336,'Base Zero'!A:L,7,FALSE),0)</f>
        <v>0</v>
      </c>
      <c r="J336" s="28">
        <f>(H336+I336)</f>
        <v>1700000</v>
      </c>
      <c r="K336" s="31">
        <f>(L336-J336)</f>
        <v>0</v>
      </c>
      <c r="L336" s="31">
        <f>IFERROR(VLOOKUP(G336,'Base Zero'!$A:$L,10,FALSE),0)</f>
        <v>1700000</v>
      </c>
      <c r="M336" s="31">
        <f>+L336-N336</f>
        <v>290879.70999999996</v>
      </c>
      <c r="N336" s="32">
        <f>IFERROR(VLOOKUP(G336,'Base Zero'!$A:$P,16,FALSE),0)</f>
        <v>1409120.29</v>
      </c>
      <c r="O336" s="32">
        <f>IFERROR(VLOOKUP(G336,'Base Execução'!A:M,6,FALSE),0)+IFERROR(VLOOKUP(G336,'Destaque Liberado pela CPRM'!A:F,6,FALSE),0)</f>
        <v>1409120.29</v>
      </c>
      <c r="P336" s="232">
        <f>+N336-O336</f>
        <v>0</v>
      </c>
      <c r="Q336" s="35"/>
      <c r="R336" s="231">
        <f>IFERROR(VLOOKUP(G336,'Base Execução'!$A:$K,7,FALSE),0)</f>
        <v>1332452.67</v>
      </c>
      <c r="S336" s="231">
        <f>IFERROR(VLOOKUP(G336,'Base Execução'!$A:$K,9,FALSE),0)</f>
        <v>1211557.67</v>
      </c>
      <c r="T336" s="32">
        <f>IFERROR(VLOOKUP(G336,'Base Execução'!$A:$K,11,FALSE),0)</f>
        <v>1211557.67</v>
      </c>
      <c r="U336" s="298"/>
    </row>
    <row r="337" spans="1:33" s="11" customFormat="1" ht="15" customHeight="1" x14ac:dyDescent="0.2">
      <c r="A337" s="272"/>
      <c r="B337" s="424" t="s">
        <v>283</v>
      </c>
      <c r="C337" s="269"/>
      <c r="D337" s="39"/>
      <c r="E337" s="269"/>
      <c r="F337" s="44"/>
      <c r="G337" s="26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  <c r="V337" s="364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 customHeight="1" x14ac:dyDescent="0.2">
      <c r="A338" s="272"/>
      <c r="B338" s="38" t="s">
        <v>222</v>
      </c>
      <c r="C338" s="269"/>
      <c r="D338" s="39"/>
      <c r="E338" s="269"/>
      <c r="F338" s="303"/>
      <c r="G338" s="35"/>
      <c r="H338" s="22">
        <f>SUM(H339:H340)</f>
        <v>1200000</v>
      </c>
      <c r="I338" s="22">
        <f t="shared" ref="I338:P338" si="162">SUM(I339:I340)</f>
        <v>0</v>
      </c>
      <c r="J338" s="22">
        <f t="shared" si="162"/>
        <v>1200000</v>
      </c>
      <c r="K338" s="22">
        <f t="shared" si="162"/>
        <v>-400000</v>
      </c>
      <c r="L338" s="22">
        <f t="shared" si="162"/>
        <v>800000</v>
      </c>
      <c r="M338" s="22">
        <f t="shared" si="162"/>
        <v>280</v>
      </c>
      <c r="N338" s="22">
        <f t="shared" si="162"/>
        <v>799720</v>
      </c>
      <c r="O338" s="22">
        <f t="shared" si="162"/>
        <v>766764.58000000007</v>
      </c>
      <c r="P338" s="22">
        <f t="shared" si="162"/>
        <v>32955.419999999984</v>
      </c>
      <c r="Q338" s="22">
        <f>SUM(Q339:Q339)</f>
        <v>0</v>
      </c>
      <c r="R338" s="22">
        <f>SUM(R339:R340)</f>
        <v>718183.53</v>
      </c>
      <c r="S338" s="22">
        <f>SUM(S339:S340)</f>
        <v>607455.94999999995</v>
      </c>
      <c r="T338" s="22">
        <f>SUM(T339:T340)</f>
        <v>606899.14</v>
      </c>
      <c r="U338" s="154">
        <f>+IFERROR((R338/N338),0%)</f>
        <v>0.89804372780473174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174249</v>
      </c>
      <c r="E339" s="269">
        <v>3</v>
      </c>
      <c r="F339" s="44">
        <v>142</v>
      </c>
      <c r="G339" s="39" t="str">
        <f>CONCATENATE(D339,"-",E339,"-",F339)</f>
        <v>174249-3-142</v>
      </c>
      <c r="H339" s="31">
        <f>IFERROR(VLOOKUP(G339,'Base Zero'!A:L,6,FALSE),0)</f>
        <v>900000</v>
      </c>
      <c r="I339" s="31">
        <f>IFERROR(VLOOKUP(G339,'Base Zero'!A:L,7,FALSE),0)</f>
        <v>0</v>
      </c>
      <c r="J339" s="28">
        <f>(H339+I339)</f>
        <v>900000</v>
      </c>
      <c r="K339" s="31">
        <f>(L339-J339)</f>
        <v>-400000</v>
      </c>
      <c r="L339" s="31">
        <f>IFERROR(VLOOKUP(G339,'Base Zero'!$A:$L,10,FALSE),0)</f>
        <v>500000</v>
      </c>
      <c r="M339" s="31">
        <f>+L339-N339</f>
        <v>0</v>
      </c>
      <c r="N339" s="32">
        <f>IFERROR(VLOOKUP(G339,'Base Zero'!$A:$P,16,FALSE),0)</f>
        <v>500000</v>
      </c>
      <c r="O339" s="32">
        <f>IFERROR(VLOOKUP(G339,'Base Execução'!A:M,6,FALSE),0)+IFERROR(VLOOKUP(G339,'Destaque Liberado pela CPRM'!A:F,6,FALSE),0)</f>
        <v>467044.58</v>
      </c>
      <c r="P339" s="232">
        <f>+N339-O339</f>
        <v>32955.419999999984</v>
      </c>
      <c r="Q339" s="31"/>
      <c r="R339" s="231">
        <f>IFERROR(VLOOKUP(G339,'Base Execução'!$A:$K,7,FALSE),0)</f>
        <v>418463.53</v>
      </c>
      <c r="S339" s="231">
        <f>IFERROR(VLOOKUP(G339,'Base Execução'!$A:$K,9,FALSE),0)</f>
        <v>307735.95</v>
      </c>
      <c r="T339" s="32">
        <f>IFERROR(VLOOKUP(G339,'Base Execução'!$A:$K,11,FALSE),0)</f>
        <v>307179.14</v>
      </c>
      <c r="U339" s="298"/>
    </row>
    <row r="340" spans="1:33" ht="15" customHeight="1" x14ac:dyDescent="0.2">
      <c r="A340" s="272"/>
      <c r="B340" s="34" t="s">
        <v>26</v>
      </c>
      <c r="C340" s="269" t="s">
        <v>27</v>
      </c>
      <c r="D340" s="281">
        <v>174249</v>
      </c>
      <c r="E340" s="269">
        <v>4</v>
      </c>
      <c r="F340" s="44">
        <v>142</v>
      </c>
      <c r="G340" s="39" t="str">
        <f>CONCATENATE(D340,"-",E340,"-",F340)</f>
        <v>174249-4-142</v>
      </c>
      <c r="H340" s="31">
        <f>IFERROR(VLOOKUP(G340,'Base Zero'!A:L,6,FALSE),0)</f>
        <v>300000</v>
      </c>
      <c r="I340" s="31">
        <f>IFERROR(VLOOKUP(G340,'Base Zero'!A:L,7,FALSE),0)</f>
        <v>0</v>
      </c>
      <c r="J340" s="28">
        <f>(H340+I340)</f>
        <v>300000</v>
      </c>
      <c r="K340" s="31">
        <f>(L340-J340)</f>
        <v>0</v>
      </c>
      <c r="L340" s="31">
        <f>IFERROR(VLOOKUP(G340,'Base Zero'!$A:$L,10,FALSE),0)</f>
        <v>300000</v>
      </c>
      <c r="M340" s="31">
        <f>+L340-N340</f>
        <v>280</v>
      </c>
      <c r="N340" s="32">
        <f>IFERROR(VLOOKUP(G340,'Base Zero'!$A:$P,16,FALSE),0)</f>
        <v>299720</v>
      </c>
      <c r="O340" s="32">
        <f>IFERROR(VLOOKUP(G340,'Base Execução'!A:M,6,FALSE),0)+IFERROR(VLOOKUP(G340,'Destaque Liberado pela CPRM'!A:F,6,FALSE),0)</f>
        <v>299720</v>
      </c>
      <c r="P340" s="232">
        <f>+N340-O340</f>
        <v>0</v>
      </c>
      <c r="Q340" s="31"/>
      <c r="R340" s="231">
        <f>IFERROR(VLOOKUP(G340,'Base Execução'!$A:$K,7,FALSE),0)</f>
        <v>299720</v>
      </c>
      <c r="S340" s="231">
        <f>IFERROR(VLOOKUP(G340,'Base Execução'!$A:$K,9,FALSE),0)</f>
        <v>299720</v>
      </c>
      <c r="T340" s="32">
        <f>IFERROR(VLOOKUP(G340,'Base Execução'!$A:$K,11,FALSE),0)</f>
        <v>299720</v>
      </c>
      <c r="U340" s="298"/>
    </row>
    <row r="341" spans="1:33" ht="24.95" customHeight="1" x14ac:dyDescent="0.2">
      <c r="A341" s="272"/>
      <c r="B341" s="424" t="s">
        <v>284</v>
      </c>
      <c r="C341" s="269"/>
      <c r="D341" s="281"/>
      <c r="E341" s="269"/>
      <c r="F341" s="44"/>
      <c r="G341" s="39"/>
      <c r="H341" s="31"/>
      <c r="I341" s="31"/>
      <c r="J341" s="28"/>
      <c r="K341" s="31"/>
      <c r="L341" s="31"/>
      <c r="M341" s="31"/>
      <c r="N341" s="31"/>
      <c r="O341" s="31"/>
      <c r="P341" s="232"/>
      <c r="Q341" s="31"/>
      <c r="R341" s="232"/>
      <c r="S341" s="232"/>
      <c r="T341" s="31"/>
      <c r="U341" s="298"/>
    </row>
    <row r="342" spans="1:33" ht="15" customHeight="1" x14ac:dyDescent="0.2">
      <c r="A342" s="272"/>
      <c r="B342" s="38" t="s">
        <v>221</v>
      </c>
      <c r="C342" s="269"/>
      <c r="D342" s="304"/>
      <c r="E342" s="305"/>
      <c r="F342" s="306"/>
      <c r="G342" s="39"/>
      <c r="H342" s="22">
        <f t="shared" ref="H342:T342" si="163">SUM(H343:H343)</f>
        <v>980000</v>
      </c>
      <c r="I342" s="22">
        <f t="shared" si="163"/>
        <v>0</v>
      </c>
      <c r="J342" s="22">
        <f t="shared" si="163"/>
        <v>980000</v>
      </c>
      <c r="K342" s="22">
        <f t="shared" si="163"/>
        <v>-153000</v>
      </c>
      <c r="L342" s="22">
        <f t="shared" si="163"/>
        <v>827000</v>
      </c>
      <c r="M342" s="22">
        <f t="shared" si="163"/>
        <v>0</v>
      </c>
      <c r="N342" s="22">
        <f t="shared" si="163"/>
        <v>827000</v>
      </c>
      <c r="O342" s="22">
        <f t="shared" si="163"/>
        <v>741930.21</v>
      </c>
      <c r="P342" s="229">
        <f t="shared" si="163"/>
        <v>85069.790000000037</v>
      </c>
      <c r="Q342" s="22">
        <f t="shared" si="163"/>
        <v>0</v>
      </c>
      <c r="R342" s="22">
        <f t="shared" si="163"/>
        <v>687481.61</v>
      </c>
      <c r="S342" s="22">
        <f t="shared" si="163"/>
        <v>589506.31000000006</v>
      </c>
      <c r="T342" s="22">
        <f t="shared" si="163"/>
        <v>587871.88</v>
      </c>
      <c r="U342" s="154">
        <f>+IFERROR((R342/N342),0%)</f>
        <v>0.83129577992744863</v>
      </c>
    </row>
    <row r="343" spans="1:33" ht="15" customHeight="1" x14ac:dyDescent="0.2">
      <c r="A343" s="272"/>
      <c r="B343" s="34" t="s">
        <v>26</v>
      </c>
      <c r="C343" s="269" t="s">
        <v>24</v>
      </c>
      <c r="D343" s="281">
        <v>174254</v>
      </c>
      <c r="E343" s="269">
        <v>3</v>
      </c>
      <c r="F343" s="44">
        <v>142</v>
      </c>
      <c r="G343" s="39" t="str">
        <f>CONCATENATE(D343,"-",E343,"-",F343)</f>
        <v>174254-3-142</v>
      </c>
      <c r="H343" s="31">
        <f>IFERROR(VLOOKUP(G343,'Base Zero'!A:L,6,FALSE),0)</f>
        <v>980000</v>
      </c>
      <c r="I343" s="31">
        <f>IFERROR(VLOOKUP(G343,'Base Zero'!A:L,7,FALSE),0)</f>
        <v>0</v>
      </c>
      <c r="J343" s="28">
        <f>(H343+I343)</f>
        <v>980000</v>
      </c>
      <c r="K343" s="31">
        <f>(L343-J343)</f>
        <v>-153000</v>
      </c>
      <c r="L343" s="31">
        <f>IFERROR(VLOOKUP(G343,'Base Zero'!$A:$L,10,FALSE),0)</f>
        <v>827000</v>
      </c>
      <c r="M343" s="31">
        <f>+L343-N343</f>
        <v>0</v>
      </c>
      <c r="N343" s="32">
        <f>IFERROR(VLOOKUP(G343,'Base Zero'!$A:$P,16,FALSE),0)</f>
        <v>827000</v>
      </c>
      <c r="O343" s="32">
        <f>IFERROR(VLOOKUP(G343,'Base Execução'!A:M,6,FALSE),0)+IFERROR(VLOOKUP(G343,'Destaque Liberado pela CPRM'!A:F,6,FALSE),0)</f>
        <v>741930.21</v>
      </c>
      <c r="P343" s="232">
        <f>+N343-O343</f>
        <v>85069.790000000037</v>
      </c>
      <c r="Q343" s="35"/>
      <c r="R343" s="231">
        <f>IFERROR(VLOOKUP(G343,'Base Execução'!$A:$K,7,FALSE),0)</f>
        <v>687481.61</v>
      </c>
      <c r="S343" s="231">
        <f>IFERROR(VLOOKUP(G343,'Base Execução'!$A:$K,9,FALSE),0)</f>
        <v>589506.31000000006</v>
      </c>
      <c r="T343" s="32">
        <f>IFERROR(VLOOKUP(G343,'Base Execução'!$A:$K,11,FALSE),0)</f>
        <v>587871.88</v>
      </c>
      <c r="U343" s="298"/>
    </row>
    <row r="344" spans="1:33" ht="15" customHeight="1" x14ac:dyDescent="0.2">
      <c r="A344" s="272"/>
      <c r="B344" s="424" t="s">
        <v>285</v>
      </c>
      <c r="C344" s="269"/>
      <c r="D344" s="281"/>
      <c r="E344" s="269"/>
      <c r="F344" s="44"/>
      <c r="G344" s="39"/>
      <c r="H344" s="31"/>
      <c r="I344" s="31"/>
      <c r="J344" s="28"/>
      <c r="K344" s="31"/>
      <c r="L344" s="31"/>
      <c r="M344" s="31"/>
      <c r="N344" s="31"/>
      <c r="O344" s="31"/>
      <c r="P344" s="232"/>
      <c r="Q344" s="35"/>
      <c r="R344" s="232"/>
      <c r="S344" s="232"/>
      <c r="T344" s="31"/>
      <c r="U344" s="298"/>
    </row>
    <row r="345" spans="1:33" ht="15" customHeight="1" x14ac:dyDescent="0.2">
      <c r="A345" s="272"/>
      <c r="B345" s="38" t="s">
        <v>133</v>
      </c>
      <c r="C345" s="269"/>
      <c r="D345" s="36"/>
      <c r="E345" s="269"/>
      <c r="F345" s="303"/>
      <c r="G345" s="39"/>
      <c r="H345" s="22">
        <f t="shared" ref="H345:T345" si="164">SUM(H346:H346)</f>
        <v>1685000</v>
      </c>
      <c r="I345" s="22">
        <f t="shared" si="164"/>
        <v>0</v>
      </c>
      <c r="J345" s="22">
        <f t="shared" si="164"/>
        <v>1685000</v>
      </c>
      <c r="K345" s="22">
        <f t="shared" si="164"/>
        <v>-107000</v>
      </c>
      <c r="L345" s="22">
        <f t="shared" si="164"/>
        <v>1578000</v>
      </c>
      <c r="M345" s="22">
        <f t="shared" si="164"/>
        <v>0</v>
      </c>
      <c r="N345" s="22">
        <f t="shared" si="164"/>
        <v>1578000</v>
      </c>
      <c r="O345" s="22">
        <f t="shared" si="164"/>
        <v>1557307</v>
      </c>
      <c r="P345" s="229">
        <f t="shared" si="164"/>
        <v>20693</v>
      </c>
      <c r="Q345" s="22">
        <f t="shared" si="164"/>
        <v>0</v>
      </c>
      <c r="R345" s="22">
        <f t="shared" si="164"/>
        <v>1454159.26</v>
      </c>
      <c r="S345" s="22">
        <f t="shared" si="164"/>
        <v>1218655.3600000001</v>
      </c>
      <c r="T345" s="22">
        <f t="shared" si="164"/>
        <v>1205784.26</v>
      </c>
      <c r="U345" s="154">
        <f>+IFERROR((R345/N345),0%)</f>
        <v>0.92152044359949303</v>
      </c>
    </row>
    <row r="346" spans="1:33" ht="15" customHeight="1" x14ac:dyDescent="0.2">
      <c r="A346" s="272"/>
      <c r="B346" s="34" t="s">
        <v>26</v>
      </c>
      <c r="C346" s="269" t="s">
        <v>24</v>
      </c>
      <c r="D346" s="281">
        <v>174260</v>
      </c>
      <c r="E346" s="269">
        <v>3</v>
      </c>
      <c r="F346" s="44">
        <v>142</v>
      </c>
      <c r="G346" s="39" t="str">
        <f>CONCATENATE(D346,"-",E346,"-",F346)</f>
        <v>174260-3-142</v>
      </c>
      <c r="H346" s="31">
        <f>IFERROR(VLOOKUP(G346,'Base Zero'!A:L,6,FALSE),0)</f>
        <v>1685000</v>
      </c>
      <c r="I346" s="31">
        <f>IFERROR(VLOOKUP(G346,'Base Zero'!A:L,7,FALSE),0)</f>
        <v>0</v>
      </c>
      <c r="J346" s="28">
        <f>(H346+I346)</f>
        <v>1685000</v>
      </c>
      <c r="K346" s="31">
        <f>(L346-J346)</f>
        <v>-107000</v>
      </c>
      <c r="L346" s="31">
        <f>IFERROR(VLOOKUP(G346,'Base Zero'!$A:$L,10,FALSE),0)</f>
        <v>1578000</v>
      </c>
      <c r="M346" s="31">
        <f>+L346-N346</f>
        <v>0</v>
      </c>
      <c r="N346" s="32">
        <f>IFERROR(VLOOKUP(G346,'Base Zero'!$A:$P,16,FALSE),0)</f>
        <v>1578000</v>
      </c>
      <c r="O346" s="32">
        <f>IFERROR(VLOOKUP(G346,'Base Execução'!A:M,6,FALSE),0)+IFERROR(VLOOKUP(G346,'Destaque Liberado pela CPRM'!A:F,6,FALSE),0)</f>
        <v>1557307</v>
      </c>
      <c r="P346" s="232">
        <f>+N346-O346</f>
        <v>20693</v>
      </c>
      <c r="Q346" s="35"/>
      <c r="R346" s="231">
        <f>IFERROR(VLOOKUP(G346,'Base Execução'!$A:$K,7,FALSE),0)</f>
        <v>1454159.26</v>
      </c>
      <c r="S346" s="231">
        <f>IFERROR(VLOOKUP(G346,'Base Execução'!$A:$K,9,FALSE),0)</f>
        <v>1218655.3600000001</v>
      </c>
      <c r="T346" s="32">
        <f>IFERROR(VLOOKUP(G346,'Base Execução'!$A:$K,11,FALSE),0)</f>
        <v>1205784.26</v>
      </c>
      <c r="U346" s="298"/>
    </row>
    <row r="347" spans="1:33" ht="15" customHeight="1" x14ac:dyDescent="0.2">
      <c r="A347" s="272"/>
      <c r="B347" s="424" t="s">
        <v>163</v>
      </c>
      <c r="C347" s="269"/>
      <c r="D347" s="281"/>
      <c r="E347" s="269"/>
      <c r="F347" s="44"/>
      <c r="G347" s="39"/>
      <c r="H347" s="31"/>
      <c r="I347" s="31"/>
      <c r="J347" s="28"/>
      <c r="K347" s="31"/>
      <c r="L347" s="31"/>
      <c r="M347" s="31"/>
      <c r="N347" s="31"/>
      <c r="O347" s="31"/>
      <c r="P347" s="232"/>
      <c r="Q347" s="35"/>
      <c r="R347" s="232"/>
      <c r="S347" s="232"/>
      <c r="T347" s="31"/>
      <c r="U347" s="298"/>
    </row>
    <row r="348" spans="1:33" ht="15" customHeight="1" x14ac:dyDescent="0.2">
      <c r="A348" s="272"/>
      <c r="B348" s="38" t="s">
        <v>165</v>
      </c>
      <c r="C348" s="269"/>
      <c r="D348" s="36"/>
      <c r="E348" s="269"/>
      <c r="F348" s="303"/>
      <c r="G348" s="39"/>
      <c r="H348" s="22">
        <f t="shared" ref="H348:T348" si="165">SUM(H349:H349)</f>
        <v>695000</v>
      </c>
      <c r="I348" s="22">
        <f t="shared" si="165"/>
        <v>0</v>
      </c>
      <c r="J348" s="22">
        <f t="shared" si="165"/>
        <v>695000</v>
      </c>
      <c r="K348" s="22">
        <f t="shared" si="165"/>
        <v>-292000</v>
      </c>
      <c r="L348" s="22">
        <f t="shared" si="165"/>
        <v>403000</v>
      </c>
      <c r="M348" s="22">
        <f t="shared" si="165"/>
        <v>0</v>
      </c>
      <c r="N348" s="22">
        <f t="shared" si="165"/>
        <v>403000</v>
      </c>
      <c r="O348" s="22">
        <f t="shared" si="165"/>
        <v>354199.91</v>
      </c>
      <c r="P348" s="229">
        <f t="shared" si="165"/>
        <v>48800.090000000026</v>
      </c>
      <c r="Q348" s="22">
        <f t="shared" si="165"/>
        <v>0</v>
      </c>
      <c r="R348" s="22">
        <f t="shared" si="165"/>
        <v>311929.43</v>
      </c>
      <c r="S348" s="22">
        <f t="shared" si="165"/>
        <v>231588.67</v>
      </c>
      <c r="T348" s="22">
        <f t="shared" si="165"/>
        <v>231588.67</v>
      </c>
      <c r="U348" s="154">
        <f>+IFERROR((R348/N348),0%)</f>
        <v>0.77401843672456572</v>
      </c>
    </row>
    <row r="349" spans="1:33" ht="15" customHeight="1" x14ac:dyDescent="0.2">
      <c r="A349" s="272"/>
      <c r="B349" s="34" t="s">
        <v>26</v>
      </c>
      <c r="C349" s="269" t="s">
        <v>24</v>
      </c>
      <c r="D349" s="281">
        <v>174265</v>
      </c>
      <c r="E349" s="269">
        <v>3</v>
      </c>
      <c r="F349" s="44">
        <v>142</v>
      </c>
      <c r="G349" s="39" t="str">
        <f>CONCATENATE(D349,"-",E349,"-",F349)</f>
        <v>174265-3-142</v>
      </c>
      <c r="H349" s="31">
        <f>IFERROR(VLOOKUP(G349,'Base Zero'!A:L,6,FALSE),0)</f>
        <v>695000</v>
      </c>
      <c r="I349" s="31">
        <f>IFERROR(VLOOKUP(G349,'Base Zero'!A:L,7,FALSE),0)</f>
        <v>0</v>
      </c>
      <c r="J349" s="28">
        <f>(H349+I349)</f>
        <v>695000</v>
      </c>
      <c r="K349" s="31">
        <f>(L349-J349)</f>
        <v>-292000</v>
      </c>
      <c r="L349" s="31">
        <f>IFERROR(VLOOKUP(G349,'Base Zero'!$A:$L,10,FALSE),0)</f>
        <v>403000</v>
      </c>
      <c r="M349" s="31">
        <f>(+L349-N349)</f>
        <v>0</v>
      </c>
      <c r="N349" s="32">
        <f>IFERROR(VLOOKUP(G349,'Base Zero'!$A:$P,16,FALSE),0)</f>
        <v>403000</v>
      </c>
      <c r="O349" s="32">
        <f>IFERROR(VLOOKUP(G349,'Base Execução'!A:M,6,FALSE),0)+IFERROR(VLOOKUP(G349,'Destaque Liberado pela CPRM'!A:F,6,FALSE),0)</f>
        <v>354199.91</v>
      </c>
      <c r="P349" s="232">
        <f>+N349-O349</f>
        <v>48800.090000000026</v>
      </c>
      <c r="Q349" s="35"/>
      <c r="R349" s="231">
        <f>IFERROR(VLOOKUP(G349,'Base Execução'!$A:$K,7,FALSE),0)</f>
        <v>311929.43</v>
      </c>
      <c r="S349" s="231">
        <f>IFERROR(VLOOKUP(G349,'Base Execução'!$A:$K,9,FALSE),0)</f>
        <v>231588.67</v>
      </c>
      <c r="T349" s="32">
        <f>IFERROR(VLOOKUP(G349,'Base Execução'!$A:$K,11,FALSE),0)</f>
        <v>231588.67</v>
      </c>
      <c r="U349" s="298"/>
    </row>
    <row r="350" spans="1:33" ht="15" customHeight="1" x14ac:dyDescent="0.2">
      <c r="A350" s="272"/>
      <c r="B350" s="424" t="s">
        <v>286</v>
      </c>
      <c r="C350" s="269"/>
      <c r="D350" s="281"/>
      <c r="E350" s="269"/>
      <c r="F350" s="44"/>
      <c r="G350" s="39"/>
      <c r="H350" s="31"/>
      <c r="I350" s="31"/>
      <c r="J350" s="28"/>
      <c r="K350" s="31"/>
      <c r="L350" s="31"/>
      <c r="M350" s="31"/>
      <c r="N350" s="31"/>
      <c r="O350" s="31"/>
      <c r="P350" s="232"/>
      <c r="Q350" s="35"/>
      <c r="R350" s="232"/>
      <c r="S350" s="232"/>
      <c r="T350" s="31"/>
      <c r="U350" s="298"/>
    </row>
    <row r="351" spans="1:33" ht="15" customHeight="1" x14ac:dyDescent="0.2">
      <c r="A351" s="272"/>
      <c r="B351" s="38" t="s">
        <v>164</v>
      </c>
      <c r="C351" s="269"/>
      <c r="D351" s="36"/>
      <c r="E351" s="269"/>
      <c r="F351" s="303"/>
      <c r="G351" s="39"/>
      <c r="H351" s="22">
        <f t="shared" ref="H351:T351" si="166">SUM(H352:H352)</f>
        <v>2950000</v>
      </c>
      <c r="I351" s="22">
        <f t="shared" si="166"/>
        <v>0</v>
      </c>
      <c r="J351" s="22">
        <f t="shared" si="166"/>
        <v>2950000</v>
      </c>
      <c r="K351" s="22">
        <f t="shared" si="166"/>
        <v>-309000</v>
      </c>
      <c r="L351" s="22">
        <f t="shared" si="166"/>
        <v>2641000</v>
      </c>
      <c r="M351" s="22">
        <f t="shared" si="166"/>
        <v>0</v>
      </c>
      <c r="N351" s="22">
        <f t="shared" si="166"/>
        <v>2641000</v>
      </c>
      <c r="O351" s="22">
        <f t="shared" si="166"/>
        <v>2636710.9300000002</v>
      </c>
      <c r="P351" s="229">
        <f t="shared" si="166"/>
        <v>4289.0699999998324</v>
      </c>
      <c r="Q351" s="22">
        <f t="shared" si="166"/>
        <v>0</v>
      </c>
      <c r="R351" s="22">
        <f t="shared" si="166"/>
        <v>2503564.0099999998</v>
      </c>
      <c r="S351" s="22">
        <f t="shared" si="166"/>
        <v>851971.98</v>
      </c>
      <c r="T351" s="22">
        <f t="shared" si="166"/>
        <v>795772.9</v>
      </c>
      <c r="U351" s="154">
        <f>+IFERROR((R351/N351),0%)</f>
        <v>0.94796062476334708</v>
      </c>
    </row>
    <row r="352" spans="1:33" ht="15" customHeight="1" x14ac:dyDescent="0.2">
      <c r="A352" s="272"/>
      <c r="B352" s="34" t="s">
        <v>26</v>
      </c>
      <c r="C352" s="269" t="s">
        <v>24</v>
      </c>
      <c r="D352" s="281">
        <v>174270</v>
      </c>
      <c r="E352" s="269">
        <v>3</v>
      </c>
      <c r="F352" s="44">
        <v>142</v>
      </c>
      <c r="G352" s="39" t="str">
        <f>CONCATENATE(D352,"-",E352,"-",F352)</f>
        <v>174270-3-142</v>
      </c>
      <c r="H352" s="31">
        <f>IFERROR(VLOOKUP(G352,'Base Zero'!A:L,6,FALSE),0)</f>
        <v>2950000</v>
      </c>
      <c r="I352" s="31">
        <f>IFERROR(VLOOKUP(G352,'Base Zero'!A:L,7,FALSE),0)</f>
        <v>0</v>
      </c>
      <c r="J352" s="28">
        <f>(H352+I352)</f>
        <v>2950000</v>
      </c>
      <c r="K352" s="31">
        <f>(L352-J352)</f>
        <v>-309000</v>
      </c>
      <c r="L352" s="31">
        <f>IFERROR(VLOOKUP(G352,'Base Zero'!$A:$L,10,FALSE),0)</f>
        <v>2641000</v>
      </c>
      <c r="M352" s="31">
        <f>(+L352-N352)</f>
        <v>0</v>
      </c>
      <c r="N352" s="32">
        <f>IFERROR(VLOOKUP(G352,'Base Zero'!$A:$P,16,FALSE),0)</f>
        <v>2641000</v>
      </c>
      <c r="O352" s="32">
        <f>IFERROR(VLOOKUP(G352,'Base Execução'!A:M,6,FALSE),0)+IFERROR(VLOOKUP(G352,'Destaque Liberado pela CPRM'!A:F,6,FALSE),0)</f>
        <v>2636710.9300000002</v>
      </c>
      <c r="P352" s="232">
        <f>+N352-O352</f>
        <v>4289.0699999998324</v>
      </c>
      <c r="Q352" s="35"/>
      <c r="R352" s="231">
        <f>IFERROR(VLOOKUP(G352,'Base Execução'!$A:$K,7,FALSE),0)</f>
        <v>2503564.0099999998</v>
      </c>
      <c r="S352" s="231">
        <f>IFERROR(VLOOKUP(G352,'Base Execução'!$A:$K,9,FALSE),0)</f>
        <v>851971.98</v>
      </c>
      <c r="T352" s="32">
        <f>IFERROR(VLOOKUP(G352,'Base Execução'!$A:$K,11,FALSE),0)</f>
        <v>795772.9</v>
      </c>
      <c r="U352" s="298"/>
    </row>
    <row r="353" spans="1:33" s="12" customFormat="1" ht="15" customHeight="1" x14ac:dyDescent="0.2">
      <c r="A353" s="272"/>
      <c r="B353" s="309"/>
      <c r="C353" s="48"/>
      <c r="D353" s="49"/>
      <c r="E353" s="48"/>
      <c r="F353" s="50"/>
      <c r="G353" s="49"/>
      <c r="H353" s="42"/>
      <c r="I353" s="42"/>
      <c r="J353" s="24"/>
      <c r="K353" s="42"/>
      <c r="L353" s="42"/>
      <c r="M353" s="42"/>
      <c r="N353" s="42"/>
      <c r="O353" s="42"/>
      <c r="P353" s="265"/>
      <c r="Q353" s="31"/>
      <c r="R353" s="265"/>
      <c r="S353" s="265"/>
      <c r="T353" s="42"/>
      <c r="U353" s="310"/>
      <c r="V353" s="365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s="11" customFormat="1" ht="24.95" customHeight="1" x14ac:dyDescent="0.2">
      <c r="A354" s="368"/>
      <c r="B354" s="20" t="s">
        <v>287</v>
      </c>
      <c r="C354" s="269"/>
      <c r="D354" s="39"/>
      <c r="E354" s="269"/>
      <c r="F354" s="44"/>
      <c r="G354" s="269"/>
      <c r="H354" s="22">
        <f>SUM(H356:H357)</f>
        <v>15200000</v>
      </c>
      <c r="I354" s="22">
        <f t="shared" ref="I354:T354" si="167">SUM(I356:I357)</f>
        <v>0</v>
      </c>
      <c r="J354" s="22">
        <f t="shared" si="167"/>
        <v>15200000</v>
      </c>
      <c r="K354" s="22">
        <f t="shared" si="167"/>
        <v>-465725</v>
      </c>
      <c r="L354" s="22">
        <f t="shared" si="167"/>
        <v>14734275</v>
      </c>
      <c r="M354" s="22">
        <f t="shared" si="167"/>
        <v>232000</v>
      </c>
      <c r="N354" s="22">
        <f t="shared" si="167"/>
        <v>14502275</v>
      </c>
      <c r="O354" s="22">
        <f t="shared" si="167"/>
        <v>14273344.989999998</v>
      </c>
      <c r="P354" s="22">
        <f t="shared" si="167"/>
        <v>228930.00999999998</v>
      </c>
      <c r="Q354" s="22">
        <f t="shared" si="167"/>
        <v>0</v>
      </c>
      <c r="R354" s="22">
        <f t="shared" si="167"/>
        <v>14071768.809999999</v>
      </c>
      <c r="S354" s="22">
        <f t="shared" si="167"/>
        <v>6946201.9699999997</v>
      </c>
      <c r="T354" s="22">
        <f t="shared" si="167"/>
        <v>6805518</v>
      </c>
      <c r="U354" s="156">
        <f>+IFERROR((R354/N354),0%)</f>
        <v>0.97031457547177935</v>
      </c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277" t="s">
        <v>326</v>
      </c>
      <c r="C355" s="278"/>
      <c r="D355" s="40"/>
      <c r="E355" s="278"/>
      <c r="F355" s="279"/>
      <c r="G355" s="278"/>
      <c r="H355" s="32"/>
      <c r="I355" s="32"/>
      <c r="J355" s="32"/>
      <c r="K355" s="32"/>
      <c r="L355" s="32"/>
      <c r="M355" s="32"/>
      <c r="N355" s="32"/>
      <c r="O355" s="32"/>
      <c r="P355" s="231"/>
      <c r="Q355" s="33"/>
      <c r="R355" s="231"/>
      <c r="S355" s="231"/>
      <c r="T355" s="32"/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23</v>
      </c>
      <c r="C356" s="278" t="s">
        <v>24</v>
      </c>
      <c r="D356" s="40"/>
      <c r="E356" s="278">
        <v>3</v>
      </c>
      <c r="F356" s="313">
        <v>142</v>
      </c>
      <c r="G356" s="40"/>
      <c r="H356" s="32">
        <f>H361+H365+H369+H373+H377</f>
        <v>11787078</v>
      </c>
      <c r="I356" s="32">
        <f t="shared" ref="I356:T356" si="168">I361+I365+I369+I373+I377</f>
        <v>0</v>
      </c>
      <c r="J356" s="32">
        <f t="shared" si="168"/>
        <v>11787078</v>
      </c>
      <c r="K356" s="32">
        <f t="shared" si="168"/>
        <v>-465725</v>
      </c>
      <c r="L356" s="32">
        <f t="shared" si="168"/>
        <v>11321353</v>
      </c>
      <c r="M356" s="32">
        <f t="shared" si="168"/>
        <v>232000</v>
      </c>
      <c r="N356" s="32">
        <f t="shared" si="168"/>
        <v>11089353</v>
      </c>
      <c r="O356" s="32">
        <f t="shared" si="168"/>
        <v>10892914.369999999</v>
      </c>
      <c r="P356" s="32">
        <f t="shared" si="168"/>
        <v>196438.63000000012</v>
      </c>
      <c r="Q356" s="32">
        <f t="shared" si="168"/>
        <v>0</v>
      </c>
      <c r="R356" s="32">
        <f t="shared" si="168"/>
        <v>10713830.85</v>
      </c>
      <c r="S356" s="32">
        <f t="shared" si="168"/>
        <v>5758742.0099999998</v>
      </c>
      <c r="T356" s="32">
        <f t="shared" si="168"/>
        <v>5618058.04</v>
      </c>
      <c r="U356" s="29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 t="s">
        <v>26</v>
      </c>
      <c r="C357" s="278" t="s">
        <v>27</v>
      </c>
      <c r="D357" s="40"/>
      <c r="E357" s="278">
        <v>4</v>
      </c>
      <c r="F357" s="313">
        <v>142</v>
      </c>
      <c r="G357" s="40"/>
      <c r="H357" s="32">
        <f>H362+H366+H370+H374+H378</f>
        <v>3412922</v>
      </c>
      <c r="I357" s="32">
        <f t="shared" ref="I357:T357" si="169">I362+I366+I370+I374+I378</f>
        <v>0</v>
      </c>
      <c r="J357" s="32">
        <f t="shared" si="169"/>
        <v>3412922</v>
      </c>
      <c r="K357" s="32">
        <f t="shared" si="169"/>
        <v>0</v>
      </c>
      <c r="L357" s="32">
        <f t="shared" si="169"/>
        <v>3412922</v>
      </c>
      <c r="M357" s="32">
        <f t="shared" si="169"/>
        <v>0</v>
      </c>
      <c r="N357" s="32">
        <f t="shared" si="169"/>
        <v>3412922</v>
      </c>
      <c r="O357" s="32">
        <f t="shared" si="169"/>
        <v>3380430.62</v>
      </c>
      <c r="P357" s="32">
        <f t="shared" si="169"/>
        <v>32491.379999999859</v>
      </c>
      <c r="Q357" s="32">
        <f t="shared" si="169"/>
        <v>0</v>
      </c>
      <c r="R357" s="32">
        <f t="shared" si="169"/>
        <v>3357937.96</v>
      </c>
      <c r="S357" s="32">
        <f t="shared" si="169"/>
        <v>1187459.96</v>
      </c>
      <c r="T357" s="32">
        <f t="shared" si="169"/>
        <v>1187459.96</v>
      </c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11" customFormat="1" ht="15" customHeight="1" x14ac:dyDescent="0.2">
      <c r="A358" s="95"/>
      <c r="B358" s="314"/>
      <c r="C358" s="278"/>
      <c r="D358" s="40"/>
      <c r="E358" s="278"/>
      <c r="F358" s="279"/>
      <c r="G358" s="40"/>
      <c r="H358" s="32"/>
      <c r="I358" s="32"/>
      <c r="J358" s="32"/>
      <c r="K358" s="32"/>
      <c r="L358" s="32"/>
      <c r="M358" s="32"/>
      <c r="N358" s="32"/>
      <c r="O358" s="32"/>
      <c r="P358" s="231"/>
      <c r="Q358" s="33"/>
      <c r="R358" s="231"/>
      <c r="S358" s="231"/>
      <c r="T358" s="32"/>
      <c r="U358" s="155"/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24.95" customHeight="1" x14ac:dyDescent="0.2">
      <c r="A359" s="272"/>
      <c r="B359" s="424" t="s">
        <v>288</v>
      </c>
      <c r="C359" s="269"/>
      <c r="D359" s="281"/>
      <c r="E359" s="269"/>
      <c r="F359" s="44"/>
      <c r="G359" s="39"/>
      <c r="H359" s="31"/>
      <c r="I359" s="31"/>
      <c r="J359" s="28"/>
      <c r="K359" s="31"/>
      <c r="L359" s="31"/>
      <c r="M359" s="31"/>
      <c r="N359" s="31"/>
      <c r="O359" s="31"/>
      <c r="P359" s="232"/>
      <c r="Q359" s="31"/>
      <c r="R359" s="232"/>
      <c r="S359" s="232"/>
      <c r="T359" s="31"/>
      <c r="U359" s="298"/>
    </row>
    <row r="360" spans="1:33" s="11" customFormat="1" ht="15" customHeight="1" x14ac:dyDescent="0.2">
      <c r="A360" s="95"/>
      <c r="B360" s="38" t="s">
        <v>147</v>
      </c>
      <c r="C360" s="269"/>
      <c r="D360" s="40"/>
      <c r="E360" s="278"/>
      <c r="F360" s="279"/>
      <c r="G360" s="40"/>
      <c r="H360" s="21">
        <f t="shared" ref="H360:T360" si="170">SUM(H361:H362)</f>
        <v>350000</v>
      </c>
      <c r="I360" s="21">
        <f t="shared" si="170"/>
        <v>0</v>
      </c>
      <c r="J360" s="21">
        <f t="shared" si="170"/>
        <v>350000</v>
      </c>
      <c r="K360" s="21">
        <f t="shared" si="170"/>
        <v>0</v>
      </c>
      <c r="L360" s="21">
        <f t="shared" si="170"/>
        <v>350000</v>
      </c>
      <c r="M360" s="21">
        <f t="shared" si="170"/>
        <v>0</v>
      </c>
      <c r="N360" s="21">
        <f t="shared" si="170"/>
        <v>350000</v>
      </c>
      <c r="O360" s="21">
        <f t="shared" si="170"/>
        <v>348310.15</v>
      </c>
      <c r="P360" s="21">
        <f t="shared" si="170"/>
        <v>1689.8500000000058</v>
      </c>
      <c r="Q360" s="21">
        <f t="shared" si="170"/>
        <v>0</v>
      </c>
      <c r="R360" s="21">
        <f t="shared" si="170"/>
        <v>347851.35</v>
      </c>
      <c r="S360" s="21">
        <f t="shared" si="170"/>
        <v>347851.35</v>
      </c>
      <c r="T360" s="21">
        <f t="shared" si="170"/>
        <v>347816.24</v>
      </c>
      <c r="U360" s="154">
        <f>+IFERROR((R360/N360),0%)</f>
        <v>0.99386099999999988</v>
      </c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24</v>
      </c>
      <c r="D361" s="40">
        <v>174233</v>
      </c>
      <c r="E361" s="278">
        <v>3</v>
      </c>
      <c r="F361" s="279">
        <v>142</v>
      </c>
      <c r="G361" s="40" t="str">
        <f>CONCATENATE(D361,"-",E361,"-",F361)</f>
        <v>174233-3-142</v>
      </c>
      <c r="H361" s="32">
        <f>IFERROR(VLOOKUP(G361,'Base Zero'!A:L,6,FALSE),0)</f>
        <v>200000</v>
      </c>
      <c r="I361" s="32">
        <f>IFERROR(VLOOKUP(G361,'Base Zero'!A:L,7,FALSE),0)</f>
        <v>0</v>
      </c>
      <c r="J361" s="23">
        <f>(H361+I361)</f>
        <v>200000</v>
      </c>
      <c r="K361" s="32">
        <f>(L361-J361)</f>
        <v>0</v>
      </c>
      <c r="L361" s="32">
        <f>IFERROR(VLOOKUP(G361,'Base Zero'!$A:$L,10,FALSE),0)</f>
        <v>200000</v>
      </c>
      <c r="M361" s="32">
        <f>+L361-N361</f>
        <v>0</v>
      </c>
      <c r="N361" s="32">
        <f>IFERROR(VLOOKUP(G361,'Base Zero'!$A:$P,16,FALSE),0)</f>
        <v>200000</v>
      </c>
      <c r="O361" s="32">
        <f>IFERROR(VLOOKUP(G361,'Base Execução'!A:M,6,FALSE),0)+IFERROR(VLOOKUP(G361,'Destaque Liberado pela CPRM'!A:F,6,FALSE),0)</f>
        <v>199999.99</v>
      </c>
      <c r="P361" s="231">
        <f>+N361-O361</f>
        <v>1.0000000009313226E-2</v>
      </c>
      <c r="Q361" s="32"/>
      <c r="R361" s="231">
        <f>IFERROR(VLOOKUP(G361,'Base Execução'!$A:$K,7,FALSE),0)</f>
        <v>199951.19</v>
      </c>
      <c r="S361" s="231">
        <f>IFERROR(VLOOKUP(G361,'Base Execução'!$A:$K,9,FALSE),0)</f>
        <v>199951.19</v>
      </c>
      <c r="T361" s="32">
        <f>IFERROR(VLOOKUP(G361,'Base Execução'!$A:$K,11,FALSE),0)</f>
        <v>199916.08</v>
      </c>
      <c r="U361" s="153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314" t="s">
        <v>26</v>
      </c>
      <c r="C362" s="278" t="s">
        <v>27</v>
      </c>
      <c r="D362" s="40">
        <v>174233</v>
      </c>
      <c r="E362" s="278">
        <v>4</v>
      </c>
      <c r="F362" s="313">
        <v>142</v>
      </c>
      <c r="G362" s="40" t="str">
        <f>CONCATENATE(D362,"-",E362,"-",F362)</f>
        <v>174233-4-142</v>
      </c>
      <c r="H362" s="32">
        <f>IFERROR(VLOOKUP(G362,'Base Zero'!A:L,6,FALSE),0)</f>
        <v>150000</v>
      </c>
      <c r="I362" s="32">
        <f>IFERROR(VLOOKUP(G362,'Base Zero'!A:L,7,FALSE),0)</f>
        <v>0</v>
      </c>
      <c r="J362" s="23">
        <f>(H362+I362)</f>
        <v>150000</v>
      </c>
      <c r="K362" s="32">
        <f>(L362-J362)</f>
        <v>0</v>
      </c>
      <c r="L362" s="32">
        <f>IFERROR(VLOOKUP(G362,'Base Zero'!$A:$L,10,FALSE),0)</f>
        <v>150000</v>
      </c>
      <c r="M362" s="32">
        <f>+L362-N362</f>
        <v>0</v>
      </c>
      <c r="N362" s="32">
        <f>IFERROR(VLOOKUP(G362,'Base Zero'!$A:$P,16,FALSE),0)</f>
        <v>150000</v>
      </c>
      <c r="O362" s="32">
        <f>IFERROR(VLOOKUP(G362,'Base Execução'!A:M,6,FALSE),0)+IFERROR(VLOOKUP(G362,'Destaque Liberado pela CPRM'!A:F,6,FALSE),0)</f>
        <v>148310.16</v>
      </c>
      <c r="P362" s="231">
        <f>+N362-O362</f>
        <v>1689.8399999999965</v>
      </c>
      <c r="Q362" s="32"/>
      <c r="R362" s="231">
        <f>IFERROR(VLOOKUP(G362,'Base Execução'!$A:$K,7,FALSE),0)</f>
        <v>147900.16</v>
      </c>
      <c r="S362" s="231">
        <f>IFERROR(VLOOKUP(G362,'Base Execução'!$A:$K,9,FALSE),0)</f>
        <v>147900.16</v>
      </c>
      <c r="T362" s="32">
        <f>IFERROR(VLOOKUP(G362,'Base Execução'!$A:$K,11,FALSE),0)</f>
        <v>147900.16</v>
      </c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11" customFormat="1" ht="15" customHeight="1" x14ac:dyDescent="0.2">
      <c r="A363" s="95"/>
      <c r="B363" s="424" t="s">
        <v>289</v>
      </c>
      <c r="C363" s="278"/>
      <c r="D363" s="40"/>
      <c r="E363" s="278"/>
      <c r="F363" s="313"/>
      <c r="G363" s="40"/>
      <c r="H363" s="32"/>
      <c r="I363" s="32"/>
      <c r="J363" s="23"/>
      <c r="K363" s="32"/>
      <c r="L363" s="32"/>
      <c r="M363" s="32"/>
      <c r="N363" s="32"/>
      <c r="O363" s="32"/>
      <c r="P363" s="231"/>
      <c r="Q363" s="33"/>
      <c r="R363" s="231"/>
      <c r="S363" s="231"/>
      <c r="T363" s="32"/>
      <c r="U363" s="155"/>
      <c r="V363" s="364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 customHeight="1" x14ac:dyDescent="0.2">
      <c r="A364" s="95"/>
      <c r="B364" s="38" t="s">
        <v>148</v>
      </c>
      <c r="C364" s="269"/>
      <c r="D364" s="36"/>
      <c r="E364" s="35"/>
      <c r="F364" s="37"/>
      <c r="G364" s="33"/>
      <c r="H364" s="22">
        <f t="shared" ref="H364:T364" si="171">SUM(H365:H366)</f>
        <v>6000000</v>
      </c>
      <c r="I364" s="22">
        <f t="shared" si="171"/>
        <v>0</v>
      </c>
      <c r="J364" s="22">
        <f t="shared" si="171"/>
        <v>6000000</v>
      </c>
      <c r="K364" s="22">
        <f t="shared" si="171"/>
        <v>0</v>
      </c>
      <c r="L364" s="22">
        <f t="shared" si="171"/>
        <v>6000000</v>
      </c>
      <c r="M364" s="22">
        <f t="shared" si="171"/>
        <v>0</v>
      </c>
      <c r="N364" s="22">
        <f t="shared" si="171"/>
        <v>6000000</v>
      </c>
      <c r="O364" s="22">
        <f t="shared" si="171"/>
        <v>5979442.5600000005</v>
      </c>
      <c r="P364" s="229">
        <f t="shared" si="171"/>
        <v>20557.439999999944</v>
      </c>
      <c r="Q364" s="22">
        <f t="shared" si="171"/>
        <v>0</v>
      </c>
      <c r="R364" s="22">
        <f t="shared" si="171"/>
        <v>5942518.1299999999</v>
      </c>
      <c r="S364" s="22">
        <f t="shared" si="171"/>
        <v>2515265.02</v>
      </c>
      <c r="T364" s="22">
        <f t="shared" si="171"/>
        <v>2412935.06</v>
      </c>
      <c r="U364" s="154">
        <f>+IFERROR((R364/N364),0%)</f>
        <v>0.99041968833333327</v>
      </c>
    </row>
    <row r="365" spans="1:33" ht="15" customHeight="1" x14ac:dyDescent="0.2">
      <c r="A365" s="95"/>
      <c r="B365" s="314" t="s">
        <v>26</v>
      </c>
      <c r="C365" s="269" t="s">
        <v>24</v>
      </c>
      <c r="D365" s="39">
        <v>174245</v>
      </c>
      <c r="E365" s="269">
        <v>3</v>
      </c>
      <c r="F365" s="313">
        <v>142</v>
      </c>
      <c r="G365" s="40" t="str">
        <f>CONCATENATE(D365,"-",E365,"-",F365)</f>
        <v>174245-3-142</v>
      </c>
      <c r="H365" s="32">
        <f>IFERROR(VLOOKUP(G365,'Base Zero'!A:L,6,FALSE),0)</f>
        <v>3539578</v>
      </c>
      <c r="I365" s="32">
        <f>IFERROR(VLOOKUP(G365,'Base Zero'!A:L,7,FALSE),0)</f>
        <v>0</v>
      </c>
      <c r="J365" s="23">
        <f>(H365+I365)</f>
        <v>3539578</v>
      </c>
      <c r="K365" s="32">
        <f>(L365-J365)</f>
        <v>0</v>
      </c>
      <c r="L365" s="32">
        <f>IFERROR(VLOOKUP(G365,'Base Zero'!$A:$L,10,FALSE),0)</f>
        <v>3539578</v>
      </c>
      <c r="M365" s="32">
        <f>+L365-N365</f>
        <v>0</v>
      </c>
      <c r="N365" s="32">
        <f>IFERROR(VLOOKUP(G365,'Base Zero'!$A:$P,16,FALSE),0)</f>
        <v>3539578</v>
      </c>
      <c r="O365" s="32">
        <f>IFERROR(VLOOKUP(G365,'Base Execução'!A:M,6,FALSE),0)+IFERROR(VLOOKUP(G365,'Destaque Liberado pela CPRM'!A:F,6,FALSE),0)</f>
        <v>3536610.9</v>
      </c>
      <c r="P365" s="231">
        <f>+N365-O365</f>
        <v>2967.1000000000931</v>
      </c>
      <c r="Q365" s="32"/>
      <c r="R365" s="231">
        <f>IFERROR(VLOOKUP(G365,'Base Execução'!$A:$K,7,FALSE),0)</f>
        <v>3521769.13</v>
      </c>
      <c r="S365" s="231">
        <f>IFERROR(VLOOKUP(G365,'Base Execução'!$A:$K,9,FALSE),0)</f>
        <v>2144994.02</v>
      </c>
      <c r="T365" s="32">
        <f>IFERROR(VLOOKUP(G365,'Base Execução'!$A:$K,11,FALSE),0)</f>
        <v>2042664.06</v>
      </c>
      <c r="U365" s="155"/>
    </row>
    <row r="366" spans="1:33" s="11" customFormat="1" ht="15" customHeight="1" x14ac:dyDescent="0.2">
      <c r="A366" s="95"/>
      <c r="B366" s="314" t="s">
        <v>26</v>
      </c>
      <c r="C366" s="278" t="s">
        <v>27</v>
      </c>
      <c r="D366" s="40">
        <v>174245</v>
      </c>
      <c r="E366" s="278">
        <v>4</v>
      </c>
      <c r="F366" s="313">
        <v>142</v>
      </c>
      <c r="G366" s="40" t="str">
        <f>CONCATENATE(D366,"-",E366,"-",F366)</f>
        <v>174245-4-142</v>
      </c>
      <c r="H366" s="32">
        <f>IFERROR(VLOOKUP(G366,'Base Zero'!A:L,6,FALSE),0)</f>
        <v>2460422</v>
      </c>
      <c r="I366" s="32">
        <f>IFERROR(VLOOKUP(G366,'Base Zero'!A:L,7,FALSE),0)</f>
        <v>0</v>
      </c>
      <c r="J366" s="23">
        <f>(H366+I366)</f>
        <v>2460422</v>
      </c>
      <c r="K366" s="32">
        <f>(L366-J366)</f>
        <v>0</v>
      </c>
      <c r="L366" s="32">
        <f>IFERROR(VLOOKUP(G366,'Base Zero'!$A:$L,10,FALSE),0)</f>
        <v>2460422</v>
      </c>
      <c r="M366" s="32">
        <f>+L366-N366</f>
        <v>0</v>
      </c>
      <c r="N366" s="32">
        <f>IFERROR(VLOOKUP(G366,'Base Zero'!$A:$P,16,FALSE),0)</f>
        <v>2460422</v>
      </c>
      <c r="O366" s="32">
        <f>IFERROR(VLOOKUP(G366,'Base Execução'!A:M,6,FALSE),0)+IFERROR(VLOOKUP(G366,'Destaque Liberado pela CPRM'!A:F,6,FALSE),0)</f>
        <v>2442831.66</v>
      </c>
      <c r="P366" s="231">
        <f>+N366-O366</f>
        <v>17590.339999999851</v>
      </c>
      <c r="Q366" s="32"/>
      <c r="R366" s="231">
        <f>IFERROR(VLOOKUP(G366,'Base Execução'!$A:$K,7,FALSE),0)</f>
        <v>2420749</v>
      </c>
      <c r="S366" s="231">
        <f>IFERROR(VLOOKUP(G366,'Base Execução'!$A:$K,9,FALSE),0)</f>
        <v>370271</v>
      </c>
      <c r="T366" s="32">
        <f>IFERROR(VLOOKUP(G366,'Base Execução'!$A:$K,11,FALSE),0)</f>
        <v>370271</v>
      </c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11" customFormat="1" ht="15" customHeight="1" x14ac:dyDescent="0.2">
      <c r="A367" s="95"/>
      <c r="B367" s="424" t="s">
        <v>170</v>
      </c>
      <c r="C367" s="278"/>
      <c r="D367" s="40"/>
      <c r="E367" s="278"/>
      <c r="F367" s="313"/>
      <c r="G367" s="40"/>
      <c r="H367" s="32"/>
      <c r="I367" s="32"/>
      <c r="J367" s="23"/>
      <c r="K367" s="32"/>
      <c r="L367" s="32"/>
      <c r="M367" s="32"/>
      <c r="N367" s="32"/>
      <c r="O367" s="32"/>
      <c r="P367" s="231"/>
      <c r="Q367" s="33"/>
      <c r="R367" s="231"/>
      <c r="S367" s="231"/>
      <c r="T367" s="32"/>
      <c r="U367" s="155"/>
      <c r="V367" s="364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" customHeight="1" x14ac:dyDescent="0.2">
      <c r="A368" s="95"/>
      <c r="B368" s="38" t="s">
        <v>146</v>
      </c>
      <c r="C368" s="269"/>
      <c r="D368" s="36"/>
      <c r="E368" s="35"/>
      <c r="F368" s="37"/>
      <c r="G368" s="33"/>
      <c r="H368" s="22">
        <f>SUM(H369:H370)</f>
        <v>4111110</v>
      </c>
      <c r="I368" s="22">
        <f t="shared" ref="I368:O368" si="172">SUM(I369:I370)</f>
        <v>0</v>
      </c>
      <c r="J368" s="22">
        <f t="shared" si="172"/>
        <v>4111110</v>
      </c>
      <c r="K368" s="22">
        <f t="shared" si="172"/>
        <v>0</v>
      </c>
      <c r="L368" s="22">
        <f t="shared" si="172"/>
        <v>4111110</v>
      </c>
      <c r="M368" s="22">
        <f t="shared" si="172"/>
        <v>232000</v>
      </c>
      <c r="N368" s="22">
        <f t="shared" si="172"/>
        <v>3879110</v>
      </c>
      <c r="O368" s="22">
        <f t="shared" si="172"/>
        <v>3744548.81</v>
      </c>
      <c r="P368" s="229">
        <f>SUM(P369:P370)</f>
        <v>134561.18999999994</v>
      </c>
      <c r="Q368" s="22">
        <f>SUM(Q369:Q370)</f>
        <v>0</v>
      </c>
      <c r="R368" s="22">
        <f>SUM(R369:R370)</f>
        <v>3632257.13</v>
      </c>
      <c r="S368" s="22">
        <f>SUM(S369:S370)</f>
        <v>1177961.27</v>
      </c>
      <c r="T368" s="22">
        <f>SUM(T369:T370)</f>
        <v>1172446.22</v>
      </c>
      <c r="U368" s="154">
        <f>+IFERROR((R368/N368),0%)</f>
        <v>0.93636352926315569</v>
      </c>
    </row>
    <row r="369" spans="1:33" ht="15" customHeight="1" x14ac:dyDescent="0.2">
      <c r="A369" s="95"/>
      <c r="B369" s="314" t="s">
        <v>26</v>
      </c>
      <c r="C369" s="269" t="s">
        <v>24</v>
      </c>
      <c r="D369" s="39">
        <v>174257</v>
      </c>
      <c r="E369" s="269">
        <v>3</v>
      </c>
      <c r="F369" s="313">
        <v>142</v>
      </c>
      <c r="G369" s="40" t="str">
        <f>CONCATENATE(D369,"-",E369,"-",F369)</f>
        <v>174257-3-142</v>
      </c>
      <c r="H369" s="32">
        <f>IFERROR(VLOOKUP(G369,'Base Zero'!A:L,6,FALSE),0)</f>
        <v>3913610</v>
      </c>
      <c r="I369" s="32">
        <f>IFERROR(VLOOKUP(G369,'Base Zero'!A:L,7,FALSE),0)</f>
        <v>0</v>
      </c>
      <c r="J369" s="23">
        <f>(H369+I369)</f>
        <v>3913610</v>
      </c>
      <c r="K369" s="32">
        <f>(L369-J369)</f>
        <v>0</v>
      </c>
      <c r="L369" s="32">
        <f>IFERROR(VLOOKUP(G369,'Base Zero'!$A:$L,10,FALSE),0)</f>
        <v>3913610</v>
      </c>
      <c r="M369" s="32">
        <f>+L369-N369</f>
        <v>232000</v>
      </c>
      <c r="N369" s="32">
        <f>IFERROR(VLOOKUP(G369,'Base Zero'!$A:$P,16,FALSE),0)</f>
        <v>3681610</v>
      </c>
      <c r="O369" s="32">
        <f>IFERROR(VLOOKUP(G369,'Base Execução'!A:M,6,FALSE),0)+IFERROR(VLOOKUP(G369,'Destaque Liberado pela CPRM'!A:F,6,FALSE),0)</f>
        <v>3554548.81</v>
      </c>
      <c r="P369" s="231">
        <f>+N369-O369</f>
        <v>127061.18999999994</v>
      </c>
      <c r="Q369" s="32"/>
      <c r="R369" s="231">
        <f>IFERROR(VLOOKUP(G369,'Base Execução'!$A:$K,7,FALSE),0)</f>
        <v>3442257.13</v>
      </c>
      <c r="S369" s="231">
        <f>IFERROR(VLOOKUP(G369,'Base Execução'!$A:$K,9,FALSE),0)</f>
        <v>1107961.27</v>
      </c>
      <c r="T369" s="32">
        <f>IFERROR(VLOOKUP(G369,'Base Execução'!$A:$K,11,FALSE),0)</f>
        <v>1102446.22</v>
      </c>
      <c r="U369" s="155"/>
    </row>
    <row r="370" spans="1:33" ht="15" customHeight="1" x14ac:dyDescent="0.2">
      <c r="A370" s="95"/>
      <c r="B370" s="314" t="s">
        <v>26</v>
      </c>
      <c r="C370" s="278" t="s">
        <v>27</v>
      </c>
      <c r="D370" s="39">
        <v>174257</v>
      </c>
      <c r="E370" s="269">
        <v>4</v>
      </c>
      <c r="F370" s="313">
        <v>142</v>
      </c>
      <c r="G370" s="40" t="str">
        <f>CONCATENATE(D370,"-",E370,"-",F370)</f>
        <v>174257-4-142</v>
      </c>
      <c r="H370" s="32">
        <f>IFERROR(VLOOKUP(G370,'Base Zero'!A:L,6,FALSE),0)</f>
        <v>197500</v>
      </c>
      <c r="I370" s="32">
        <f>IFERROR(VLOOKUP(G370,'Base Zero'!A:L,7,FALSE),0)</f>
        <v>0</v>
      </c>
      <c r="J370" s="23">
        <f>(H370+I370)</f>
        <v>197500</v>
      </c>
      <c r="K370" s="32">
        <f>(L370-J370)</f>
        <v>0</v>
      </c>
      <c r="L370" s="32">
        <f>IFERROR(VLOOKUP(G370,'Base Zero'!$A:$L,10,FALSE),0)</f>
        <v>197500</v>
      </c>
      <c r="M370" s="32">
        <f>+L370-N370</f>
        <v>0</v>
      </c>
      <c r="N370" s="32">
        <f>IFERROR(VLOOKUP(G370,'Base Zero'!$A:$P,16,FALSE),0)</f>
        <v>197500</v>
      </c>
      <c r="O370" s="32">
        <f>IFERROR(VLOOKUP(G370,'Base Execução'!A:M,6,FALSE),0)+IFERROR(VLOOKUP(G370,'Destaque Liberado pela CPRM'!A:F,6,FALSE),0)</f>
        <v>190000</v>
      </c>
      <c r="P370" s="231">
        <f>+N370-O370</f>
        <v>7500</v>
      </c>
      <c r="Q370" s="32"/>
      <c r="R370" s="231">
        <f>IFERROR(VLOOKUP(G370,'Base Execução'!$A:$K,7,FALSE),0)</f>
        <v>190000</v>
      </c>
      <c r="S370" s="231">
        <f>IFERROR(VLOOKUP(G370,'Base Execução'!$A:$K,9,FALSE),0)</f>
        <v>70000</v>
      </c>
      <c r="T370" s="32">
        <f>IFERROR(VLOOKUP(G370,'Base Execução'!$A:$K,11,FALSE),0)</f>
        <v>70000</v>
      </c>
      <c r="U370" s="155"/>
    </row>
    <row r="371" spans="1:33" s="11" customFormat="1" ht="15" customHeight="1" x14ac:dyDescent="0.2">
      <c r="A371" s="95"/>
      <c r="B371" s="424" t="s">
        <v>290</v>
      </c>
      <c r="C371" s="278"/>
      <c r="D371" s="40"/>
      <c r="E371" s="278"/>
      <c r="F371" s="313"/>
      <c r="G371" s="40"/>
      <c r="H371" s="32"/>
      <c r="I371" s="32"/>
      <c r="J371" s="23"/>
      <c r="K371" s="32"/>
      <c r="L371" s="32"/>
      <c r="M371" s="32"/>
      <c r="N371" s="32"/>
      <c r="O371" s="32"/>
      <c r="P371" s="231"/>
      <c r="Q371" s="33"/>
      <c r="R371" s="231"/>
      <c r="S371" s="231"/>
      <c r="T371" s="32"/>
      <c r="U371" s="155"/>
      <c r="V371" s="364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 customHeight="1" x14ac:dyDescent="0.2">
      <c r="A372" s="95"/>
      <c r="B372" s="38" t="s">
        <v>169</v>
      </c>
      <c r="C372" s="269"/>
      <c r="D372" s="36"/>
      <c r="E372" s="35"/>
      <c r="F372" s="37"/>
      <c r="G372" s="33"/>
      <c r="H372" s="22">
        <f>SUM(H373:H374)</f>
        <v>2621000</v>
      </c>
      <c r="I372" s="22">
        <f t="shared" ref="I372:O372" si="173">SUM(I373:I374)</f>
        <v>0</v>
      </c>
      <c r="J372" s="22">
        <f t="shared" si="173"/>
        <v>2621000</v>
      </c>
      <c r="K372" s="22">
        <f t="shared" si="173"/>
        <v>0</v>
      </c>
      <c r="L372" s="22">
        <f t="shared" si="173"/>
        <v>2621000</v>
      </c>
      <c r="M372" s="22">
        <f t="shared" si="173"/>
        <v>0</v>
      </c>
      <c r="N372" s="22">
        <f t="shared" si="173"/>
        <v>2621000</v>
      </c>
      <c r="O372" s="22">
        <f t="shared" si="173"/>
        <v>2577110</v>
      </c>
      <c r="P372" s="229">
        <f>SUM(P373:P374)</f>
        <v>43890.000000000058</v>
      </c>
      <c r="Q372" s="22">
        <f>SUM(Q373:Q374)</f>
        <v>0</v>
      </c>
      <c r="R372" s="22">
        <f>SUM(R373:R374)</f>
        <v>2525390.73</v>
      </c>
      <c r="S372" s="22">
        <f>SUM(S373:S374)</f>
        <v>1668972.18</v>
      </c>
      <c r="T372" s="22">
        <f>SUM(T373:T374)</f>
        <v>1668454.84</v>
      </c>
      <c r="U372" s="154">
        <f>+IFERROR((R372/N372),0%)</f>
        <v>0.96352183517741319</v>
      </c>
    </row>
    <row r="373" spans="1:33" ht="15" customHeight="1" x14ac:dyDescent="0.2">
      <c r="A373" s="95"/>
      <c r="B373" s="314" t="s">
        <v>26</v>
      </c>
      <c r="C373" s="269" t="s">
        <v>24</v>
      </c>
      <c r="D373" s="39">
        <v>174262</v>
      </c>
      <c r="E373" s="269">
        <v>3</v>
      </c>
      <c r="F373" s="313">
        <v>142</v>
      </c>
      <c r="G373" s="40" t="str">
        <f>CONCATENATE(D373,"-",E373,"-",F373)</f>
        <v>174262-3-142</v>
      </c>
      <c r="H373" s="32">
        <f>IFERROR(VLOOKUP(G373,'Base Zero'!A:L,6,FALSE),0)</f>
        <v>2126000</v>
      </c>
      <c r="I373" s="32">
        <f>IFERROR(VLOOKUP(G373,'Base Zero'!A:L,7,FALSE),0)</f>
        <v>0</v>
      </c>
      <c r="J373" s="23">
        <f>(H373+I373)</f>
        <v>2126000</v>
      </c>
      <c r="K373" s="32">
        <f>(L373-J373)</f>
        <v>0</v>
      </c>
      <c r="L373" s="32">
        <f>IFERROR(VLOOKUP(G373,'Base Zero'!$A:$L,10,FALSE),0)</f>
        <v>2126000</v>
      </c>
      <c r="M373" s="32">
        <f>+L373-N373</f>
        <v>0</v>
      </c>
      <c r="N373" s="32">
        <f>IFERROR(VLOOKUP(G373,'Base Zero'!$A:$P,16,FALSE),0)</f>
        <v>2126000</v>
      </c>
      <c r="O373" s="32">
        <f>IFERROR(VLOOKUP(G373,'Base Execução'!A:M,6,FALSE),0)+IFERROR(VLOOKUP(G373,'Destaque Liberado pela CPRM'!A:F,6,FALSE),0)</f>
        <v>2087821.2</v>
      </c>
      <c r="P373" s="231">
        <f>+N373-O373</f>
        <v>38178.800000000047</v>
      </c>
      <c r="Q373" s="32"/>
      <c r="R373" s="231">
        <f>IFERROR(VLOOKUP(G373,'Base Execução'!$A:$K,7,FALSE),0)</f>
        <v>2036101.93</v>
      </c>
      <c r="S373" s="231">
        <f>IFERROR(VLOOKUP(G373,'Base Execução'!$A:$K,9,FALSE),0)</f>
        <v>1179683.3799999999</v>
      </c>
      <c r="T373" s="32">
        <f>IFERROR(VLOOKUP(G373,'Base Execução'!$A:$K,11,FALSE),0)</f>
        <v>1179166.04</v>
      </c>
      <c r="U373" s="155"/>
    </row>
    <row r="374" spans="1:33" ht="15" customHeight="1" x14ac:dyDescent="0.2">
      <c r="A374" s="95"/>
      <c r="B374" s="314" t="s">
        <v>26</v>
      </c>
      <c r="C374" s="278" t="s">
        <v>27</v>
      </c>
      <c r="D374" s="39">
        <v>174262</v>
      </c>
      <c r="E374" s="269">
        <v>4</v>
      </c>
      <c r="F374" s="313">
        <v>142</v>
      </c>
      <c r="G374" s="40" t="str">
        <f>CONCATENATE(D374,"-",E374,"-",F374)</f>
        <v>174262-4-142</v>
      </c>
      <c r="H374" s="32">
        <f>IFERROR(VLOOKUP(G374,'Base Zero'!A:L,6,FALSE),0)</f>
        <v>495000</v>
      </c>
      <c r="I374" s="32">
        <f>IFERROR(VLOOKUP(G374,'Base Zero'!A:L,7,FALSE),0)</f>
        <v>0</v>
      </c>
      <c r="J374" s="23">
        <f>(H374+I374)</f>
        <v>495000</v>
      </c>
      <c r="K374" s="32">
        <f>(L374-J374)</f>
        <v>0</v>
      </c>
      <c r="L374" s="32">
        <f>IFERROR(VLOOKUP(G374,'Base Zero'!$A:$L,10,FALSE),0)</f>
        <v>495000</v>
      </c>
      <c r="M374" s="32">
        <f>+L374-N374</f>
        <v>0</v>
      </c>
      <c r="N374" s="32">
        <f>IFERROR(VLOOKUP(G374,'Base Zero'!$A:$P,16,FALSE),0)</f>
        <v>495000</v>
      </c>
      <c r="O374" s="32">
        <f>IFERROR(VLOOKUP(G374,'Base Execução'!A:M,6,FALSE),0)+IFERROR(VLOOKUP(G374,'Destaque Liberado pela CPRM'!A:F,6,FALSE),0)</f>
        <v>489288.8</v>
      </c>
      <c r="P374" s="231">
        <f>+N374-O374</f>
        <v>5711.2000000000116</v>
      </c>
      <c r="Q374" s="32"/>
      <c r="R374" s="231">
        <f>IFERROR(VLOOKUP(G374,'Base Execução'!$A:$K,7,FALSE),0)</f>
        <v>489288.8</v>
      </c>
      <c r="S374" s="231">
        <f>IFERROR(VLOOKUP(G374,'Base Execução'!$A:$K,9,FALSE),0)</f>
        <v>489288.8</v>
      </c>
      <c r="T374" s="32">
        <f>IFERROR(VLOOKUP(G374,'Base Execução'!$A:$K,11,FALSE),0)</f>
        <v>489288.8</v>
      </c>
      <c r="U374" s="155"/>
    </row>
    <row r="375" spans="1:33" s="11" customFormat="1" ht="15" customHeight="1" x14ac:dyDescent="0.2">
      <c r="A375" s="95"/>
      <c r="B375" s="424" t="s">
        <v>149</v>
      </c>
      <c r="C375" s="278"/>
      <c r="D375" s="40"/>
      <c r="E375" s="278"/>
      <c r="F375" s="313"/>
      <c r="G375" s="40"/>
      <c r="H375" s="32"/>
      <c r="I375" s="32"/>
      <c r="J375" s="23"/>
      <c r="K375" s="32"/>
      <c r="L375" s="32"/>
      <c r="M375" s="32"/>
      <c r="N375" s="32"/>
      <c r="O375" s="32"/>
      <c r="P375" s="231"/>
      <c r="Q375" s="33"/>
      <c r="R375" s="231"/>
      <c r="S375" s="231"/>
      <c r="T375" s="32"/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 customHeight="1" x14ac:dyDescent="0.2">
      <c r="A376" s="95"/>
      <c r="B376" s="38" t="s">
        <v>150</v>
      </c>
      <c r="C376" s="269"/>
      <c r="D376" s="36"/>
      <c r="E376" s="35"/>
      <c r="F376" s="37"/>
      <c r="G376" s="33"/>
      <c r="H376" s="22">
        <f t="shared" ref="H376:T376" si="174">SUM(H377:H378)</f>
        <v>2117890</v>
      </c>
      <c r="I376" s="22">
        <f t="shared" si="174"/>
        <v>0</v>
      </c>
      <c r="J376" s="22">
        <f t="shared" si="174"/>
        <v>2117890</v>
      </c>
      <c r="K376" s="22">
        <f t="shared" si="174"/>
        <v>-465725</v>
      </c>
      <c r="L376" s="22">
        <f t="shared" si="174"/>
        <v>1652165</v>
      </c>
      <c r="M376" s="22">
        <f t="shared" si="174"/>
        <v>0</v>
      </c>
      <c r="N376" s="22">
        <f t="shared" si="174"/>
        <v>1652165</v>
      </c>
      <c r="O376" s="22">
        <f t="shared" si="174"/>
        <v>1623933.47</v>
      </c>
      <c r="P376" s="229">
        <f t="shared" si="174"/>
        <v>28231.530000000028</v>
      </c>
      <c r="Q376" s="22">
        <f t="shared" si="174"/>
        <v>0</v>
      </c>
      <c r="R376" s="22">
        <f t="shared" si="174"/>
        <v>1623751.47</v>
      </c>
      <c r="S376" s="22">
        <f t="shared" si="174"/>
        <v>1236152.1499999999</v>
      </c>
      <c r="T376" s="22">
        <f t="shared" si="174"/>
        <v>1203865.6399999999</v>
      </c>
      <c r="U376" s="154">
        <f>+IFERROR((R376/N376),0%)</f>
        <v>0.98280224432789698</v>
      </c>
    </row>
    <row r="377" spans="1:33" ht="15" customHeight="1" x14ac:dyDescent="0.2">
      <c r="A377" s="95"/>
      <c r="B377" s="314" t="s">
        <v>26</v>
      </c>
      <c r="C377" s="269" t="s">
        <v>24</v>
      </c>
      <c r="D377" s="39">
        <v>174267</v>
      </c>
      <c r="E377" s="269">
        <v>3</v>
      </c>
      <c r="F377" s="313">
        <v>142</v>
      </c>
      <c r="G377" s="40" t="str">
        <f>CONCATENATE(D377,"-",E377,"-",F377)</f>
        <v>174267-3-142</v>
      </c>
      <c r="H377" s="32">
        <f>IFERROR(VLOOKUP(G377,'Base Zero'!A:L,6,FALSE),0)</f>
        <v>2007890</v>
      </c>
      <c r="I377" s="32">
        <f>IFERROR(VLOOKUP(G377,'Base Zero'!A:L,7,FALSE),0)</f>
        <v>0</v>
      </c>
      <c r="J377" s="23">
        <f>(H377+I377)</f>
        <v>2007890</v>
      </c>
      <c r="K377" s="32">
        <f>(L377-J377)</f>
        <v>-465725</v>
      </c>
      <c r="L377" s="32">
        <f>IFERROR(VLOOKUP(G377,'Base Zero'!$A:$L,10,FALSE),0)</f>
        <v>1542165</v>
      </c>
      <c r="M377" s="32">
        <f>+L377-N377</f>
        <v>0</v>
      </c>
      <c r="N377" s="32">
        <f>IFERROR(VLOOKUP(G377,'Base Zero'!$A:$P,16,FALSE),0)</f>
        <v>1542165</v>
      </c>
      <c r="O377" s="32">
        <f>IFERROR(VLOOKUP(G377,'Base Execução'!A:M,6,FALSE),0)+IFERROR(VLOOKUP(G377,'Destaque Liberado pela CPRM'!A:F,6,FALSE),0)</f>
        <v>1513933.47</v>
      </c>
      <c r="P377" s="231">
        <f>+N377-O377</f>
        <v>28231.530000000028</v>
      </c>
      <c r="Q377" s="32"/>
      <c r="R377" s="231">
        <f>IFERROR(VLOOKUP(G377,'Base Execução'!$A:$K,7,FALSE),0)</f>
        <v>1513751.47</v>
      </c>
      <c r="S377" s="231">
        <f>IFERROR(VLOOKUP(G377,'Base Execução'!$A:$K,9,FALSE),0)</f>
        <v>1126152.1499999999</v>
      </c>
      <c r="T377" s="32">
        <f>IFERROR(VLOOKUP(G377,'Base Execução'!$A:$K,11,FALSE),0)</f>
        <v>1093865.6399999999</v>
      </c>
      <c r="U377" s="155"/>
    </row>
    <row r="378" spans="1:33" ht="15" customHeight="1" x14ac:dyDescent="0.2">
      <c r="A378" s="95"/>
      <c r="B378" s="314" t="s">
        <v>26</v>
      </c>
      <c r="C378" s="278" t="s">
        <v>27</v>
      </c>
      <c r="D378" s="39">
        <v>174267</v>
      </c>
      <c r="E378" s="269">
        <v>4</v>
      </c>
      <c r="F378" s="313">
        <v>142</v>
      </c>
      <c r="G378" s="40" t="str">
        <f>CONCATENATE(D378,"-",E378,"-",F378)</f>
        <v>174267-4-142</v>
      </c>
      <c r="H378" s="32">
        <f>IFERROR(VLOOKUP(G378,'Base Zero'!A:L,6,FALSE),0)</f>
        <v>110000</v>
      </c>
      <c r="I378" s="32">
        <f>IFERROR(VLOOKUP(G378,'Base Zero'!A:L,7,FALSE),0)</f>
        <v>0</v>
      </c>
      <c r="J378" s="23">
        <f>(H378+I378)</f>
        <v>110000</v>
      </c>
      <c r="K378" s="32">
        <f>(L378-J378)</f>
        <v>0</v>
      </c>
      <c r="L378" s="32">
        <f>IFERROR(VLOOKUP(G378,'Base Zero'!$A:$L,10,FALSE),0)</f>
        <v>110000</v>
      </c>
      <c r="M378" s="32">
        <f>+L378-N378</f>
        <v>0</v>
      </c>
      <c r="N378" s="32">
        <f>IFERROR(VLOOKUP(G378,'Base Zero'!$A:$P,16,FALSE),0)</f>
        <v>110000</v>
      </c>
      <c r="O378" s="32">
        <f>IFERROR(VLOOKUP(G378,'Base Execução'!A:M,6,FALSE),0)+IFERROR(VLOOKUP(G378,'Destaque Liberado pela CPRM'!A:F,6,FALSE),0)</f>
        <v>110000</v>
      </c>
      <c r="P378" s="231">
        <f>+N378-O378</f>
        <v>0</v>
      </c>
      <c r="Q378" s="32"/>
      <c r="R378" s="231">
        <f>IFERROR(VLOOKUP(G378,'Base Execução'!$A:$K,7,FALSE),0)</f>
        <v>110000</v>
      </c>
      <c r="S378" s="231">
        <f>IFERROR(VLOOKUP(G378,'Base Execução'!$A:$K,9,FALSE),0)</f>
        <v>110000</v>
      </c>
      <c r="T378" s="32">
        <f>IFERROR(VLOOKUP(G378,'Base Execução'!$A:$K,11,FALSE),0)</f>
        <v>110000</v>
      </c>
      <c r="U378" s="155"/>
    </row>
    <row r="379" spans="1:33" s="11" customFormat="1" ht="15" customHeight="1" x14ac:dyDescent="0.2">
      <c r="A379" s="368"/>
      <c r="B379" s="301"/>
      <c r="C379" s="48"/>
      <c r="D379" s="49"/>
      <c r="E379" s="48"/>
      <c r="F379" s="50"/>
      <c r="G379" s="48"/>
      <c r="H379" s="42"/>
      <c r="I379" s="42"/>
      <c r="J379" s="24"/>
      <c r="K379" s="42"/>
      <c r="L379" s="42"/>
      <c r="M379" s="42"/>
      <c r="N379" s="42"/>
      <c r="O379" s="42"/>
      <c r="P379" s="265"/>
      <c r="Q379" s="35"/>
      <c r="R379" s="265"/>
      <c r="S379" s="265"/>
      <c r="T379" s="42"/>
      <c r="U379" s="300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24.95" customHeight="1" x14ac:dyDescent="0.2">
      <c r="A380" s="95"/>
      <c r="B380" s="41" t="s">
        <v>291</v>
      </c>
      <c r="C380" s="278"/>
      <c r="D380" s="40"/>
      <c r="E380" s="278"/>
      <c r="F380" s="279"/>
      <c r="G380" s="278"/>
      <c r="H380" s="21">
        <f>SUM(H382:H385)</f>
        <v>8500000</v>
      </c>
      <c r="I380" s="21">
        <f t="shared" ref="I380:T380" si="175">SUM(I382:I385)</f>
        <v>0</v>
      </c>
      <c r="J380" s="21">
        <f t="shared" si="175"/>
        <v>8500000</v>
      </c>
      <c r="K380" s="21">
        <f t="shared" si="175"/>
        <v>0</v>
      </c>
      <c r="L380" s="21">
        <f t="shared" si="175"/>
        <v>8500000</v>
      </c>
      <c r="M380" s="21">
        <f t="shared" si="175"/>
        <v>0</v>
      </c>
      <c r="N380" s="21">
        <f t="shared" si="175"/>
        <v>8500000</v>
      </c>
      <c r="O380" s="21">
        <f t="shared" si="175"/>
        <v>8397329.0899999999</v>
      </c>
      <c r="P380" s="21">
        <f t="shared" si="175"/>
        <v>102670.90999999992</v>
      </c>
      <c r="Q380" s="22">
        <f>SUM(Q383:Q385)</f>
        <v>0</v>
      </c>
      <c r="R380" s="21">
        <f t="shared" si="175"/>
        <v>7618079.4799999995</v>
      </c>
      <c r="S380" s="21">
        <f t="shared" si="175"/>
        <v>4635509.08</v>
      </c>
      <c r="T380" s="21">
        <f t="shared" si="175"/>
        <v>4439306.55</v>
      </c>
      <c r="U380" s="156">
        <f>+IFERROR((R380/N380),0%)</f>
        <v>0.89624464470588228</v>
      </c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277" t="s">
        <v>327</v>
      </c>
      <c r="C381" s="278"/>
      <c r="D381" s="40"/>
      <c r="E381" s="278"/>
      <c r="F381" s="279"/>
      <c r="G381" s="278"/>
      <c r="H381" s="32"/>
      <c r="I381" s="32"/>
      <c r="J381" s="23"/>
      <c r="K381" s="32"/>
      <c r="L381" s="32"/>
      <c r="M381" s="32"/>
      <c r="N381" s="32"/>
      <c r="O381" s="32"/>
      <c r="P381" s="231"/>
      <c r="Q381" s="33"/>
      <c r="R381" s="232"/>
      <c r="S381" s="232"/>
      <c r="T381" s="31"/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100</v>
      </c>
      <c r="G382" s="278"/>
      <c r="H382" s="32">
        <f>H389</f>
        <v>0</v>
      </c>
      <c r="I382" s="32">
        <f t="shared" ref="I382:T382" si="176">I389</f>
        <v>0</v>
      </c>
      <c r="J382" s="32">
        <f t="shared" si="176"/>
        <v>0</v>
      </c>
      <c r="K382" s="32">
        <f t="shared" si="176"/>
        <v>0</v>
      </c>
      <c r="L382" s="32">
        <f t="shared" si="176"/>
        <v>0</v>
      </c>
      <c r="M382" s="32">
        <f t="shared" si="176"/>
        <v>0</v>
      </c>
      <c r="N382" s="32">
        <f t="shared" si="176"/>
        <v>0</v>
      </c>
      <c r="O382" s="32">
        <f t="shared" si="176"/>
        <v>0</v>
      </c>
      <c r="P382" s="32">
        <f t="shared" si="176"/>
        <v>0</v>
      </c>
      <c r="Q382" s="33"/>
      <c r="R382" s="32">
        <f t="shared" si="176"/>
        <v>0</v>
      </c>
      <c r="S382" s="32">
        <f t="shared" si="176"/>
        <v>0</v>
      </c>
      <c r="T382" s="32">
        <f t="shared" si="176"/>
        <v>0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/>
      <c r="E383" s="278">
        <v>3</v>
      </c>
      <c r="F383" s="313">
        <v>142</v>
      </c>
      <c r="G383" s="278"/>
      <c r="H383" s="32">
        <f>H390</f>
        <v>5692518</v>
      </c>
      <c r="I383" s="32">
        <f t="shared" ref="I383:T383" si="177">I390</f>
        <v>0</v>
      </c>
      <c r="J383" s="32">
        <f t="shared" si="177"/>
        <v>5692518</v>
      </c>
      <c r="K383" s="32">
        <f t="shared" si="177"/>
        <v>0</v>
      </c>
      <c r="L383" s="32">
        <f t="shared" si="177"/>
        <v>5692518</v>
      </c>
      <c r="M383" s="32">
        <f t="shared" si="177"/>
        <v>0</v>
      </c>
      <c r="N383" s="32">
        <f t="shared" si="177"/>
        <v>5692518</v>
      </c>
      <c r="O383" s="32">
        <f t="shared" si="177"/>
        <v>5659814.5800000001</v>
      </c>
      <c r="P383" s="32">
        <f t="shared" si="177"/>
        <v>32703.419999999925</v>
      </c>
      <c r="Q383" s="32">
        <f t="shared" si="177"/>
        <v>0</v>
      </c>
      <c r="R383" s="32">
        <f t="shared" si="177"/>
        <v>5056848.95</v>
      </c>
      <c r="S383" s="32">
        <f t="shared" si="177"/>
        <v>3756113.57</v>
      </c>
      <c r="T383" s="32">
        <f t="shared" si="177"/>
        <v>3606454.32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/>
      <c r="E384" s="278">
        <v>4</v>
      </c>
      <c r="F384" s="313">
        <v>142</v>
      </c>
      <c r="G384" s="278"/>
      <c r="H384" s="32">
        <f>H391</f>
        <v>1000000</v>
      </c>
      <c r="I384" s="32">
        <f t="shared" ref="I384:T384" si="178">I391</f>
        <v>0</v>
      </c>
      <c r="J384" s="32">
        <f t="shared" si="178"/>
        <v>1000000</v>
      </c>
      <c r="K384" s="32">
        <f t="shared" si="178"/>
        <v>0</v>
      </c>
      <c r="L384" s="32">
        <f t="shared" si="178"/>
        <v>1000000</v>
      </c>
      <c r="M384" s="32">
        <f t="shared" si="178"/>
        <v>0</v>
      </c>
      <c r="N384" s="32">
        <f t="shared" si="178"/>
        <v>1000000</v>
      </c>
      <c r="O384" s="32">
        <f t="shared" si="178"/>
        <v>981448.55</v>
      </c>
      <c r="P384" s="32">
        <f t="shared" si="178"/>
        <v>18551.449999999953</v>
      </c>
      <c r="Q384" s="32">
        <f t="shared" si="178"/>
        <v>0</v>
      </c>
      <c r="R384" s="32">
        <f t="shared" si="178"/>
        <v>814304.23</v>
      </c>
      <c r="S384" s="32">
        <f t="shared" si="178"/>
        <v>20626.55</v>
      </c>
      <c r="T384" s="32">
        <f t="shared" si="178"/>
        <v>15561.55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/>
      <c r="E385" s="278">
        <v>3</v>
      </c>
      <c r="F385" s="279">
        <v>150</v>
      </c>
      <c r="G385" s="278"/>
      <c r="H385" s="32">
        <f>H392</f>
        <v>1807482</v>
      </c>
      <c r="I385" s="32">
        <f t="shared" ref="I385:T385" si="179">I392</f>
        <v>0</v>
      </c>
      <c r="J385" s="32">
        <f t="shared" si="179"/>
        <v>1807482</v>
      </c>
      <c r="K385" s="32">
        <f t="shared" si="179"/>
        <v>0</v>
      </c>
      <c r="L385" s="32">
        <f t="shared" si="179"/>
        <v>1807482</v>
      </c>
      <c r="M385" s="32">
        <f t="shared" si="179"/>
        <v>0</v>
      </c>
      <c r="N385" s="32">
        <f t="shared" si="179"/>
        <v>1807482</v>
      </c>
      <c r="O385" s="32">
        <f t="shared" si="179"/>
        <v>1756065.96</v>
      </c>
      <c r="P385" s="32">
        <f t="shared" si="179"/>
        <v>51416.040000000037</v>
      </c>
      <c r="Q385" s="32">
        <f t="shared" si="179"/>
        <v>0</v>
      </c>
      <c r="R385" s="32">
        <f t="shared" si="179"/>
        <v>1746926.3</v>
      </c>
      <c r="S385" s="32">
        <f t="shared" si="179"/>
        <v>858768.96</v>
      </c>
      <c r="T385" s="32">
        <f t="shared" si="179"/>
        <v>817290.68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314"/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424" t="s">
        <v>292</v>
      </c>
      <c r="C387" s="278"/>
      <c r="D387" s="40"/>
      <c r="E387" s="278"/>
      <c r="F387" s="279"/>
      <c r="G387" s="278"/>
      <c r="H387" s="32"/>
      <c r="I387" s="32"/>
      <c r="J387" s="23"/>
      <c r="K387" s="32"/>
      <c r="L387" s="32"/>
      <c r="M387" s="32"/>
      <c r="N387" s="32"/>
      <c r="O387" s="32"/>
      <c r="P387" s="231"/>
      <c r="Q387" s="33"/>
      <c r="R387" s="232"/>
      <c r="S387" s="232"/>
      <c r="T387" s="31"/>
      <c r="U387" s="155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8" t="s">
        <v>197</v>
      </c>
      <c r="C388" s="278"/>
      <c r="D388" s="40"/>
      <c r="E388" s="278"/>
      <c r="F388" s="279"/>
      <c r="G388" s="278"/>
      <c r="H388" s="22">
        <f>SUM(H389:H392)</f>
        <v>8500000</v>
      </c>
      <c r="I388" s="22">
        <f t="shared" ref="I388:P388" si="180">SUM(I389:I392)</f>
        <v>0</v>
      </c>
      <c r="J388" s="22">
        <f t="shared" si="180"/>
        <v>8500000</v>
      </c>
      <c r="K388" s="22">
        <f t="shared" si="180"/>
        <v>0</v>
      </c>
      <c r="L388" s="22">
        <f t="shared" si="180"/>
        <v>8500000</v>
      </c>
      <c r="M388" s="22">
        <f t="shared" si="180"/>
        <v>0</v>
      </c>
      <c r="N388" s="22">
        <f t="shared" si="180"/>
        <v>8500000</v>
      </c>
      <c r="O388" s="22">
        <f t="shared" si="180"/>
        <v>8397329.0899999999</v>
      </c>
      <c r="P388" s="22">
        <f t="shared" si="180"/>
        <v>102670.90999999992</v>
      </c>
      <c r="Q388" s="22">
        <f>SUM(Q390:Q392)</f>
        <v>0</v>
      </c>
      <c r="R388" s="22">
        <f>SUM(R389:R392)</f>
        <v>7618079.4799999995</v>
      </c>
      <c r="S388" s="22">
        <f>SUM(S389:S392)</f>
        <v>4635509.08</v>
      </c>
      <c r="T388" s="22">
        <f>SUM(T389:T392)</f>
        <v>4439306.55</v>
      </c>
      <c r="U388" s="154">
        <f>+IFERROR((R388/N388),0%)</f>
        <v>0.89624464470588228</v>
      </c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100</v>
      </c>
      <c r="G389" s="40" t="str">
        <f>CONCATENATE(D389,"-",E389,"-",F389)</f>
        <v>174239-3-100</v>
      </c>
      <c r="H389" s="32">
        <f>IFERROR(VLOOKUP(G389,'Base Zero'!A:L,6,FALSE),0)</f>
        <v>0</v>
      </c>
      <c r="I389" s="32">
        <f>IFERROR(VLOOKUP(G389,'Base Zero'!A:L,7,FALSE),0)</f>
        <v>0</v>
      </c>
      <c r="J389" s="23">
        <f>(H389+I389)</f>
        <v>0</v>
      </c>
      <c r="K389" s="32">
        <f>(L389-J389)</f>
        <v>0</v>
      </c>
      <c r="L389" s="32">
        <f>IFERROR(VLOOKUP(G389,'Base Zero'!$A:$L,10,FALSE),0)</f>
        <v>0</v>
      </c>
      <c r="M389" s="32">
        <f>+L389-N389</f>
        <v>0</v>
      </c>
      <c r="N389" s="32">
        <f>IFERROR(VLOOKUP(G389,'Base Zero'!$A:$P,16,FALSE),0)</f>
        <v>0</v>
      </c>
      <c r="O389" s="32">
        <f>IFERROR(VLOOKUP(G389,'Base Execução'!A:M,6,FALSE),0)+IFERROR(VLOOKUP(G389,'Destaque Liberado pela CPRM'!A:F,6,FALSE),0)</f>
        <v>0</v>
      </c>
      <c r="P389" s="231">
        <f>+N389-O389</f>
        <v>0</v>
      </c>
      <c r="Q389" s="22"/>
      <c r="R389" s="231">
        <f>IFERROR(VLOOKUP(G389,'Base Execução'!$A:$K,7,FALSE),0)</f>
        <v>0</v>
      </c>
      <c r="S389" s="231">
        <f>IFERROR(VLOOKUP(G389,'Base Execução'!$A:$K,9,FALSE),0)</f>
        <v>0</v>
      </c>
      <c r="T389" s="32">
        <f>IFERROR(VLOOKUP(G389,'Base Execução'!$A:$K,11,FALSE),0)</f>
        <v>0</v>
      </c>
      <c r="U389" s="154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24</v>
      </c>
      <c r="D390" s="40">
        <v>174239</v>
      </c>
      <c r="E390" s="278">
        <v>3</v>
      </c>
      <c r="F390" s="313">
        <v>142</v>
      </c>
      <c r="G390" s="40" t="str">
        <f>CONCATENATE(D390,"-",E390,"-",F390)</f>
        <v>174239-3-142</v>
      </c>
      <c r="H390" s="32">
        <f>IFERROR(VLOOKUP(G390,'Base Zero'!A:L,6,FALSE),0)</f>
        <v>5692518</v>
      </c>
      <c r="I390" s="32">
        <f>IFERROR(VLOOKUP(G390,'Base Zero'!A:L,7,FALSE),0)</f>
        <v>0</v>
      </c>
      <c r="J390" s="23">
        <f>(H390+I390)</f>
        <v>5692518</v>
      </c>
      <c r="K390" s="32">
        <f>(L390-J390)</f>
        <v>0</v>
      </c>
      <c r="L390" s="32">
        <f>IFERROR(VLOOKUP(G390,'Base Zero'!$A:$L,10,FALSE),0)</f>
        <v>5692518</v>
      </c>
      <c r="M390" s="32">
        <f>+L390-N390</f>
        <v>0</v>
      </c>
      <c r="N390" s="32">
        <f>IFERROR(VLOOKUP(G390,'Base Zero'!$A:$P,16,FALSE),0)</f>
        <v>5692518</v>
      </c>
      <c r="O390" s="32">
        <f>IFERROR(VLOOKUP(G390,'Base Execução'!A:M,6,FALSE),0)+IFERROR(VLOOKUP(G390,'Destaque Liberado pela CPRM'!A:F,6,FALSE),0)</f>
        <v>5659814.5800000001</v>
      </c>
      <c r="P390" s="231">
        <f>+N390-O390</f>
        <v>32703.419999999925</v>
      </c>
      <c r="Q390" s="32"/>
      <c r="R390" s="231">
        <f>IFERROR(VLOOKUP(G390,'Base Execução'!$A:$K,7,FALSE),0)</f>
        <v>5056848.95</v>
      </c>
      <c r="S390" s="231">
        <f>IFERROR(VLOOKUP(G390,'Base Execução'!$A:$K,9,FALSE),0)</f>
        <v>3756113.57</v>
      </c>
      <c r="T390" s="32">
        <f>IFERROR(VLOOKUP(G390,'Base Execução'!$A:$K,11,FALSE),0)</f>
        <v>3606454.32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32</v>
      </c>
      <c r="C391" s="278" t="s">
        <v>27</v>
      </c>
      <c r="D391" s="40">
        <v>174239</v>
      </c>
      <c r="E391" s="278">
        <v>4</v>
      </c>
      <c r="F391" s="313">
        <v>142</v>
      </c>
      <c r="G391" s="40" t="str">
        <f>CONCATENATE(D391,"-",E391,"-",F391)</f>
        <v>174239-4-142</v>
      </c>
      <c r="H391" s="32">
        <f>IFERROR(VLOOKUP(G391,'Base Zero'!A:L,6,FALSE),0)</f>
        <v>1000000</v>
      </c>
      <c r="I391" s="32">
        <f>IFERROR(VLOOKUP(G391,'Base Zero'!A:L,7,FALSE),0)</f>
        <v>0</v>
      </c>
      <c r="J391" s="23">
        <f>(H391+I391)</f>
        <v>1000000</v>
      </c>
      <c r="K391" s="32">
        <f>(L391-J391)</f>
        <v>0</v>
      </c>
      <c r="L391" s="32">
        <f>IFERROR(VLOOKUP(G391,'Base Zero'!$A:$L,10,FALSE),0)</f>
        <v>1000000</v>
      </c>
      <c r="M391" s="32">
        <f>+L391-N391</f>
        <v>0</v>
      </c>
      <c r="N391" s="32">
        <f>IFERROR(VLOOKUP(G391,'Base Zero'!$A:$P,16,FALSE),0)</f>
        <v>1000000</v>
      </c>
      <c r="O391" s="32">
        <f>IFERROR(VLOOKUP(G391,'Base Execução'!A:M,6,FALSE),0)+IFERROR(VLOOKUP(G391,'Destaque Liberado pela CPRM'!A:F,6,FALSE),0)</f>
        <v>981448.55</v>
      </c>
      <c r="P391" s="231">
        <f>+N391-O391</f>
        <v>18551.449999999953</v>
      </c>
      <c r="Q391" s="33"/>
      <c r="R391" s="231">
        <f>IFERROR(VLOOKUP(G391,'Base Execução'!$A:$K,7,FALSE),0)</f>
        <v>814304.23</v>
      </c>
      <c r="S391" s="231">
        <f>IFERROR(VLOOKUP(G391,'Base Execução'!$A:$K,9,FALSE),0)</f>
        <v>20626.55</v>
      </c>
      <c r="T391" s="32">
        <f>IFERROR(VLOOKUP(G391,'Base Execução'!$A:$K,11,FALSE),0)</f>
        <v>15561.55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39</v>
      </c>
      <c r="C392" s="278" t="s">
        <v>24</v>
      </c>
      <c r="D392" s="40">
        <v>174239</v>
      </c>
      <c r="E392" s="278">
        <v>3</v>
      </c>
      <c r="F392" s="279">
        <v>150</v>
      </c>
      <c r="G392" s="40" t="str">
        <f>CONCATENATE(D392,"-",E392,"-",F392)</f>
        <v>174239-3-150</v>
      </c>
      <c r="H392" s="32">
        <f>IFERROR(VLOOKUP(G392,'Base Zero'!A:L,6,FALSE),0)</f>
        <v>1807482</v>
      </c>
      <c r="I392" s="32">
        <f>IFERROR(VLOOKUP(G392,'Base Zero'!A:L,7,FALSE),0)</f>
        <v>0</v>
      </c>
      <c r="J392" s="23">
        <f>(H392+I392)</f>
        <v>1807482</v>
      </c>
      <c r="K392" s="32">
        <f>(L392-J392)</f>
        <v>0</v>
      </c>
      <c r="L392" s="32">
        <f>IFERROR(VLOOKUP(G392,'Base Zero'!$A:$L,10,FALSE),0)</f>
        <v>1807482</v>
      </c>
      <c r="M392" s="32">
        <f>+L392-N392</f>
        <v>0</v>
      </c>
      <c r="N392" s="32">
        <f>IFERROR(VLOOKUP(G392,'Base Zero'!$A:$P,16,FALSE),0)</f>
        <v>1807482</v>
      </c>
      <c r="O392" s="32">
        <f>IFERROR(VLOOKUP(G392,'Base Execução'!A:M,6,FALSE),0)+IFERROR(VLOOKUP(G392,'Destaque Liberado pela CPRM'!A:F,6,FALSE),0)</f>
        <v>1756065.96</v>
      </c>
      <c r="P392" s="231">
        <f>+N392-O392</f>
        <v>51416.040000000037</v>
      </c>
      <c r="Q392" s="33"/>
      <c r="R392" s="231">
        <f>IFERROR(VLOOKUP(G392,'Base Execução'!$A:$K,7,FALSE),0)</f>
        <v>1746926.3</v>
      </c>
      <c r="S392" s="231">
        <f>IFERROR(VLOOKUP(G392,'Base Execução'!$A:$K,9,FALSE),0)</f>
        <v>858768.96</v>
      </c>
      <c r="T392" s="32">
        <f>IFERROR(VLOOKUP(G392,'Base Execução'!$A:$K,11,FALSE),0)</f>
        <v>817290.68</v>
      </c>
      <c r="U392" s="15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368"/>
      <c r="B393" s="299"/>
      <c r="C393" s="48"/>
      <c r="D393" s="49"/>
      <c r="E393" s="48"/>
      <c r="F393" s="50"/>
      <c r="G393" s="48"/>
      <c r="H393" s="42"/>
      <c r="I393" s="42"/>
      <c r="J393" s="24"/>
      <c r="K393" s="42"/>
      <c r="L393" s="42"/>
      <c r="M393" s="42"/>
      <c r="N393" s="42"/>
      <c r="O393" s="42"/>
      <c r="P393" s="265"/>
      <c r="Q393" s="35"/>
      <c r="R393" s="265"/>
      <c r="S393" s="265"/>
      <c r="T393" s="42"/>
      <c r="U393" s="300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24.95" customHeight="1" x14ac:dyDescent="0.2">
      <c r="A394" s="95"/>
      <c r="B394" s="41" t="s">
        <v>293</v>
      </c>
      <c r="C394" s="278"/>
      <c r="D394" s="40"/>
      <c r="E394" s="278"/>
      <c r="F394" s="279"/>
      <c r="G394" s="278"/>
      <c r="H394" s="21">
        <f>SUM(H396:H399)</f>
        <v>1000000</v>
      </c>
      <c r="I394" s="21">
        <f t="shared" ref="I394:T394" si="181">SUM(I396:I399)</f>
        <v>0</v>
      </c>
      <c r="J394" s="21">
        <f t="shared" si="181"/>
        <v>1000000</v>
      </c>
      <c r="K394" s="21">
        <f t="shared" si="181"/>
        <v>-102651</v>
      </c>
      <c r="L394" s="21">
        <f t="shared" si="181"/>
        <v>897349</v>
      </c>
      <c r="M394" s="21">
        <f t="shared" si="181"/>
        <v>0</v>
      </c>
      <c r="N394" s="21">
        <f t="shared" si="181"/>
        <v>897349</v>
      </c>
      <c r="O394" s="21">
        <f t="shared" si="181"/>
        <v>714235</v>
      </c>
      <c r="P394" s="21">
        <f t="shared" si="181"/>
        <v>183114</v>
      </c>
      <c r="Q394" s="22">
        <f>SUM(Q398:Q399)</f>
        <v>0</v>
      </c>
      <c r="R394" s="21">
        <f t="shared" si="181"/>
        <v>700074.82</v>
      </c>
      <c r="S394" s="21">
        <f t="shared" si="181"/>
        <v>553781.33000000007</v>
      </c>
      <c r="T394" s="21">
        <f t="shared" si="181"/>
        <v>549075.64</v>
      </c>
      <c r="U394" s="156">
        <f>+IFERROR((R394/N394),0%)</f>
        <v>0.78015891253013037</v>
      </c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277" t="s">
        <v>328</v>
      </c>
      <c r="C395" s="278"/>
      <c r="D395" s="40"/>
      <c r="E395" s="278"/>
      <c r="F395" s="279"/>
      <c r="G395" s="278"/>
      <c r="H395" s="21"/>
      <c r="I395" s="21"/>
      <c r="J395" s="21"/>
      <c r="K395" s="21"/>
      <c r="L395" s="21"/>
      <c r="M395" s="21"/>
      <c r="N395" s="21"/>
      <c r="O395" s="21"/>
      <c r="P395" s="228"/>
      <c r="Q395" s="33"/>
      <c r="R395" s="228"/>
      <c r="S395" s="228"/>
      <c r="T395" s="21"/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2">I406</f>
        <v>0</v>
      </c>
      <c r="J396" s="32">
        <f t="shared" si="182"/>
        <v>0</v>
      </c>
      <c r="K396" s="32">
        <f t="shared" si="182"/>
        <v>0</v>
      </c>
      <c r="L396" s="32">
        <f t="shared" si="182"/>
        <v>0</v>
      </c>
      <c r="M396" s="32">
        <f t="shared" si="182"/>
        <v>0</v>
      </c>
      <c r="N396" s="32">
        <f t="shared" si="182"/>
        <v>0</v>
      </c>
      <c r="O396" s="32">
        <f t="shared" si="182"/>
        <v>0</v>
      </c>
      <c r="P396" s="32">
        <f t="shared" si="182"/>
        <v>0</v>
      </c>
      <c r="Q396" s="33"/>
      <c r="R396" s="32">
        <f t="shared" si="182"/>
        <v>0</v>
      </c>
      <c r="S396" s="32">
        <f t="shared" si="182"/>
        <v>0</v>
      </c>
      <c r="T396" s="32">
        <f t="shared" si="182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27</v>
      </c>
      <c r="D397" s="40"/>
      <c r="E397" s="278"/>
      <c r="F397" s="313">
        <v>100</v>
      </c>
      <c r="G397" s="278"/>
      <c r="H397" s="32">
        <f>H407</f>
        <v>0</v>
      </c>
      <c r="I397" s="32">
        <f t="shared" ref="I397:T397" si="183">I407</f>
        <v>0</v>
      </c>
      <c r="J397" s="32">
        <f t="shared" si="183"/>
        <v>0</v>
      </c>
      <c r="K397" s="32">
        <f t="shared" si="183"/>
        <v>0</v>
      </c>
      <c r="L397" s="32">
        <f t="shared" si="183"/>
        <v>0</v>
      </c>
      <c r="M397" s="32">
        <f t="shared" si="183"/>
        <v>0</v>
      </c>
      <c r="N397" s="32">
        <f t="shared" si="183"/>
        <v>0</v>
      </c>
      <c r="O397" s="32">
        <f t="shared" si="183"/>
        <v>0</v>
      </c>
      <c r="P397" s="32">
        <f t="shared" si="183"/>
        <v>0</v>
      </c>
      <c r="Q397" s="33"/>
      <c r="R397" s="32">
        <f t="shared" si="183"/>
        <v>0</v>
      </c>
      <c r="S397" s="32">
        <f t="shared" si="183"/>
        <v>0</v>
      </c>
      <c r="T397" s="32">
        <f t="shared" si="183"/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23</v>
      </c>
      <c r="C398" s="278" t="s">
        <v>24</v>
      </c>
      <c r="D398" s="40"/>
      <c r="E398" s="278"/>
      <c r="F398" s="313">
        <v>142</v>
      </c>
      <c r="G398" s="40"/>
      <c r="H398" s="32">
        <f t="shared" ref="H398:T398" si="184">H403+H410+H413+H416</f>
        <v>975000</v>
      </c>
      <c r="I398" s="32">
        <f t="shared" si="184"/>
        <v>0</v>
      </c>
      <c r="J398" s="32">
        <f t="shared" si="184"/>
        <v>975000</v>
      </c>
      <c r="K398" s="32">
        <f t="shared" si="184"/>
        <v>-79037</v>
      </c>
      <c r="L398" s="32">
        <f t="shared" si="184"/>
        <v>895963</v>
      </c>
      <c r="M398" s="32">
        <f t="shared" si="184"/>
        <v>0</v>
      </c>
      <c r="N398" s="32">
        <f t="shared" si="184"/>
        <v>895963</v>
      </c>
      <c r="O398" s="32">
        <f t="shared" si="184"/>
        <v>714235</v>
      </c>
      <c r="P398" s="32">
        <f t="shared" si="184"/>
        <v>181728</v>
      </c>
      <c r="Q398" s="32">
        <f t="shared" si="184"/>
        <v>0</v>
      </c>
      <c r="R398" s="32">
        <f t="shared" si="184"/>
        <v>700074.82</v>
      </c>
      <c r="S398" s="32">
        <f t="shared" si="184"/>
        <v>553781.33000000007</v>
      </c>
      <c r="T398" s="32">
        <f t="shared" si="184"/>
        <v>549075.64</v>
      </c>
      <c r="U398" s="29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26</v>
      </c>
      <c r="C399" s="278" t="s">
        <v>27</v>
      </c>
      <c r="D399" s="40"/>
      <c r="E399" s="278"/>
      <c r="F399" s="313">
        <v>142</v>
      </c>
      <c r="G399" s="40"/>
      <c r="H399" s="32">
        <f>H404</f>
        <v>25000</v>
      </c>
      <c r="I399" s="32">
        <f t="shared" ref="I399:T399" si="185">I404</f>
        <v>0</v>
      </c>
      <c r="J399" s="32">
        <f t="shared" si="185"/>
        <v>25000</v>
      </c>
      <c r="K399" s="32">
        <f t="shared" si="185"/>
        <v>-23614</v>
      </c>
      <c r="L399" s="32">
        <f t="shared" si="185"/>
        <v>1386</v>
      </c>
      <c r="M399" s="32">
        <f t="shared" si="185"/>
        <v>0</v>
      </c>
      <c r="N399" s="32">
        <f t="shared" si="185"/>
        <v>1386</v>
      </c>
      <c r="O399" s="32">
        <f t="shared" si="185"/>
        <v>0</v>
      </c>
      <c r="P399" s="32">
        <f t="shared" si="185"/>
        <v>1386</v>
      </c>
      <c r="Q399" s="32">
        <f t="shared" si="185"/>
        <v>0</v>
      </c>
      <c r="R399" s="32">
        <f t="shared" si="185"/>
        <v>0</v>
      </c>
      <c r="S399" s="32">
        <f t="shared" si="185"/>
        <v>0</v>
      </c>
      <c r="T399" s="32">
        <f t="shared" si="185"/>
        <v>0</v>
      </c>
      <c r="U399" s="31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/>
      <c r="C400" s="278"/>
      <c r="D400" s="40"/>
      <c r="E400" s="278"/>
      <c r="F400" s="279"/>
      <c r="G400" s="40"/>
      <c r="H400" s="32"/>
      <c r="I400" s="32"/>
      <c r="J400" s="32"/>
      <c r="K400" s="32"/>
      <c r="L400" s="32"/>
      <c r="M400" s="32"/>
      <c r="N400" s="32"/>
      <c r="O400" s="32"/>
      <c r="P400" s="231"/>
      <c r="Q400" s="33"/>
      <c r="R400" s="231"/>
      <c r="S400" s="231"/>
      <c r="T400" s="32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161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162</v>
      </c>
      <c r="C402" s="278"/>
      <c r="D402" s="40"/>
      <c r="E402" s="278"/>
      <c r="F402" s="279"/>
      <c r="G402" s="278"/>
      <c r="H402" s="21">
        <f t="shared" ref="H402:T402" si="186">SUM(H403:H404)</f>
        <v>225000</v>
      </c>
      <c r="I402" s="21">
        <f t="shared" si="186"/>
        <v>0</v>
      </c>
      <c r="J402" s="21">
        <f t="shared" si="186"/>
        <v>225000</v>
      </c>
      <c r="K402" s="21">
        <f t="shared" si="186"/>
        <v>-43614</v>
      </c>
      <c r="L402" s="21">
        <f t="shared" si="186"/>
        <v>181386</v>
      </c>
      <c r="M402" s="21">
        <f t="shared" si="186"/>
        <v>0</v>
      </c>
      <c r="N402" s="21">
        <f t="shared" si="186"/>
        <v>181386</v>
      </c>
      <c r="O402" s="21">
        <f t="shared" si="186"/>
        <v>155070.26</v>
      </c>
      <c r="P402" s="228">
        <f t="shared" si="186"/>
        <v>26315.739999999991</v>
      </c>
      <c r="Q402" s="21">
        <f t="shared" si="186"/>
        <v>0</v>
      </c>
      <c r="R402" s="21">
        <f t="shared" si="186"/>
        <v>154758.31</v>
      </c>
      <c r="S402" s="21">
        <f t="shared" si="186"/>
        <v>108705.3</v>
      </c>
      <c r="T402" s="21">
        <f t="shared" si="186"/>
        <v>105135.48</v>
      </c>
      <c r="U402" s="154">
        <f>+IFERROR((R402/N402),0%)</f>
        <v>0.85319875844883286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174236</v>
      </c>
      <c r="E403" s="278">
        <v>3</v>
      </c>
      <c r="F403" s="313">
        <v>142</v>
      </c>
      <c r="G403" s="40" t="str">
        <f>CONCATENATE(D403,"-",E403,"-",F403)</f>
        <v>174236-3-142</v>
      </c>
      <c r="H403" s="32">
        <f>IFERROR(VLOOKUP(G403,'Base Zero'!A:L,6,FALSE),0)</f>
        <v>200000</v>
      </c>
      <c r="I403" s="32">
        <f>IFERROR(VLOOKUP(G403,'Base Zero'!A:L,7,FALSE),0)</f>
        <v>0</v>
      </c>
      <c r="J403" s="23">
        <f>(H403+I403)</f>
        <v>200000</v>
      </c>
      <c r="K403" s="32">
        <f>(L403-J403)</f>
        <v>-20000</v>
      </c>
      <c r="L403" s="32">
        <f>IFERROR(VLOOKUP(G403,'Base Zero'!$A:$L,10,FALSE),0)</f>
        <v>180000</v>
      </c>
      <c r="M403" s="32">
        <f>+L403-N403</f>
        <v>0</v>
      </c>
      <c r="N403" s="32">
        <f>IFERROR(VLOOKUP(G403,'Base Zero'!$A:$P,16,FALSE),0)</f>
        <v>180000</v>
      </c>
      <c r="O403" s="32">
        <f>IFERROR(VLOOKUP(G403,'Base Execução'!A:M,6,FALSE),0)+IFERROR(VLOOKUP(G403,'Destaque Liberado pela CPRM'!A:F,6,FALSE),0)</f>
        <v>155070.26</v>
      </c>
      <c r="P403" s="231">
        <f>+N403-O403</f>
        <v>24929.739999999991</v>
      </c>
      <c r="Q403" s="32"/>
      <c r="R403" s="231">
        <f>IFERROR(VLOOKUP(G403,'Base Execução'!$A:$K,7,FALSE),0)</f>
        <v>154758.31</v>
      </c>
      <c r="S403" s="231">
        <f>IFERROR(VLOOKUP(G403,'Base Execução'!$A:$K,9,FALSE),0)</f>
        <v>108705.3</v>
      </c>
      <c r="T403" s="32">
        <f>IFERROR(VLOOKUP(G403,'Base Execução'!$A:$K,11,FALSE),0)</f>
        <v>105135.48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4" t="s">
        <v>34</v>
      </c>
      <c r="C404" s="278" t="s">
        <v>27</v>
      </c>
      <c r="D404" s="40">
        <v>174236</v>
      </c>
      <c r="E404" s="278">
        <v>4</v>
      </c>
      <c r="F404" s="313">
        <v>142</v>
      </c>
      <c r="G404" s="40" t="str">
        <f>CONCATENATE(D404,"-",E404,"-",F404)</f>
        <v>174236-4-142</v>
      </c>
      <c r="H404" s="32">
        <f>IFERROR(VLOOKUP(G404,'Base Zero'!A:L,6,FALSE),0)</f>
        <v>25000</v>
      </c>
      <c r="I404" s="32">
        <f>IFERROR(VLOOKUP(G404,'Base Zero'!A:L,7,FALSE),0)</f>
        <v>0</v>
      </c>
      <c r="J404" s="23">
        <f>(H404+I404)</f>
        <v>25000</v>
      </c>
      <c r="K404" s="32">
        <f>(L404-J404)</f>
        <v>-23614</v>
      </c>
      <c r="L404" s="32">
        <f>IFERROR(VLOOKUP(G404,'Base Zero'!$A:$L,10,FALSE),0)</f>
        <v>1386</v>
      </c>
      <c r="M404" s="32">
        <f>+L404-N404</f>
        <v>0</v>
      </c>
      <c r="N404" s="32">
        <f>IFERROR(VLOOKUP(G404,'Base Zero'!$A:$P,16,FALSE),0)</f>
        <v>1386</v>
      </c>
      <c r="O404" s="32">
        <f>IFERROR(VLOOKUP(G404,'Base Execução'!A:M,6,FALSE),0)+IFERROR(VLOOKUP(G404,'Destaque Liberado pela CPRM'!A:F,6,FALSE),0)</f>
        <v>0</v>
      </c>
      <c r="P404" s="231">
        <f>+N404-O404</f>
        <v>1386</v>
      </c>
      <c r="Q404" s="33"/>
      <c r="R404" s="231">
        <f>IFERROR(VLOOKUP(G404,'Base Execução'!$A:$K,7,FALSE),0)</f>
        <v>0</v>
      </c>
      <c r="S404" s="231">
        <f>IFERROR(VLOOKUP(G404,'Base Execução'!$A:$K,9,FALSE),0)</f>
        <v>0</v>
      </c>
      <c r="T404" s="32">
        <f>IFERROR(VLOOKUP(G404,'Base Execução'!$A:$K,11,FALSE),0)</f>
        <v>0</v>
      </c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306</v>
      </c>
      <c r="C405" s="278"/>
      <c r="D405" s="40"/>
      <c r="E405" s="278"/>
      <c r="F405" s="313"/>
      <c r="G405" s="40"/>
      <c r="H405" s="21">
        <f>SUM(H406:H407)</f>
        <v>0</v>
      </c>
      <c r="I405" s="21">
        <f t="shared" ref="I405:P405" si="187">SUM(I406:I407)</f>
        <v>0</v>
      </c>
      <c r="J405" s="21">
        <f t="shared" si="187"/>
        <v>0</v>
      </c>
      <c r="K405" s="21">
        <f t="shared" si="187"/>
        <v>0</v>
      </c>
      <c r="L405" s="21">
        <f t="shared" si="187"/>
        <v>0</v>
      </c>
      <c r="M405" s="21">
        <f t="shared" si="187"/>
        <v>0</v>
      </c>
      <c r="N405" s="21">
        <f t="shared" si="187"/>
        <v>0</v>
      </c>
      <c r="O405" s="21">
        <f t="shared" si="187"/>
        <v>0</v>
      </c>
      <c r="P405" s="21">
        <f t="shared" si="187"/>
        <v>0</v>
      </c>
      <c r="Q405" s="33"/>
      <c r="R405" s="21">
        <f>SUM(R406:R407)</f>
        <v>0</v>
      </c>
      <c r="S405" s="21">
        <f>SUM(S406:S407)</f>
        <v>0</v>
      </c>
      <c r="T405" s="21">
        <f>SUM(T406:T407)</f>
        <v>0</v>
      </c>
      <c r="U405" s="154">
        <f>+IFERROR((R405/N405),0%)</f>
        <v>0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24</v>
      </c>
      <c r="D406" s="40">
        <v>202067</v>
      </c>
      <c r="E406" s="278">
        <v>3</v>
      </c>
      <c r="F406" s="313">
        <v>100</v>
      </c>
      <c r="G406" s="40" t="str">
        <f>CONCATENATE(D406,"-",E406,"-",F406)</f>
        <v>202067-3-100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314" t="s">
        <v>34</v>
      </c>
      <c r="C407" s="278" t="s">
        <v>27</v>
      </c>
      <c r="D407" s="40">
        <v>202067</v>
      </c>
      <c r="E407" s="278">
        <v>4</v>
      </c>
      <c r="F407" s="313">
        <v>100</v>
      </c>
      <c r="G407" s="40" t="str">
        <f>CONCATENATE(D407,"-",E407,"-",F407)</f>
        <v>202067-4-100</v>
      </c>
      <c r="H407" s="32">
        <f>IFERROR(VLOOKUP(G407,'Base Zero'!A:L,6,FALSE),0)</f>
        <v>0</v>
      </c>
      <c r="I407" s="32">
        <f>IFERROR(VLOOKUP(G407,'Base Zero'!A:L,7,FALSE),0)</f>
        <v>0</v>
      </c>
      <c r="J407" s="23">
        <f>(H407+I407)</f>
        <v>0</v>
      </c>
      <c r="K407" s="32">
        <f>(L407-J407)</f>
        <v>0</v>
      </c>
      <c r="L407" s="32">
        <f>IFERROR(VLOOKUP(G407,'Base Zero'!$A:$L,10,FALSE),0)</f>
        <v>0</v>
      </c>
      <c r="M407" s="32">
        <f>+L407-N407</f>
        <v>0</v>
      </c>
      <c r="N407" s="32">
        <f>IFERROR(VLOOKUP(G407,'Base Zero'!$A:$P,16,FALSE),0)</f>
        <v>0</v>
      </c>
      <c r="O407" s="32">
        <f>IFERROR(VLOOKUP(G407,'Base Execução'!A:M,6,FALSE),0)+IFERROR(VLOOKUP(G407,'Destaque Liberado pela CPRM'!A:F,6,FALSE),0)</f>
        <v>0</v>
      </c>
      <c r="P407" s="231">
        <f>+N407-O407</f>
        <v>0</v>
      </c>
      <c r="Q407" s="33"/>
      <c r="R407" s="231">
        <f>IFERROR(VLOOKUP(G407,'Base Execução'!$A:$K,7,FALSE),0)</f>
        <v>0</v>
      </c>
      <c r="S407" s="231">
        <f>IFERROR(VLOOKUP(G407,'Base Execução'!$A:$K,9,FALSE),0)</f>
        <v>0</v>
      </c>
      <c r="T407" s="32">
        <f>IFERROR(VLOOKUP(G407,'Base Execução'!$A:$K,11,FALSE),0)</f>
        <v>0</v>
      </c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424" t="s">
        <v>160</v>
      </c>
      <c r="C408" s="278"/>
      <c r="D408" s="40"/>
      <c r="E408" s="278"/>
      <c r="F408" s="279"/>
      <c r="G408" s="278"/>
      <c r="H408" s="32"/>
      <c r="I408" s="32"/>
      <c r="J408" s="23"/>
      <c r="K408" s="32"/>
      <c r="L408" s="32"/>
      <c r="M408" s="32"/>
      <c r="N408" s="32"/>
      <c r="O408" s="32"/>
      <c r="P408" s="231"/>
      <c r="Q408" s="33"/>
      <c r="R408" s="232"/>
      <c r="S408" s="232"/>
      <c r="T408" s="31"/>
      <c r="U408" s="155"/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8" t="s">
        <v>156</v>
      </c>
      <c r="C409" s="278"/>
      <c r="D409" s="40"/>
      <c r="E409" s="278"/>
      <c r="F409" s="279"/>
      <c r="G409" s="278"/>
      <c r="H409" s="21">
        <f t="shared" ref="H409:T409" si="188">SUM(H410:H410)</f>
        <v>275000</v>
      </c>
      <c r="I409" s="21">
        <f t="shared" si="188"/>
        <v>0</v>
      </c>
      <c r="J409" s="21">
        <f t="shared" si="188"/>
        <v>275000</v>
      </c>
      <c r="K409" s="21">
        <f t="shared" si="188"/>
        <v>-50000</v>
      </c>
      <c r="L409" s="21">
        <f t="shared" si="188"/>
        <v>225000</v>
      </c>
      <c r="M409" s="21">
        <f t="shared" si="188"/>
        <v>0</v>
      </c>
      <c r="N409" s="21">
        <f t="shared" si="188"/>
        <v>225000</v>
      </c>
      <c r="O409" s="21">
        <f t="shared" si="188"/>
        <v>166258.76999999999</v>
      </c>
      <c r="P409" s="228">
        <f t="shared" si="188"/>
        <v>58741.23000000001</v>
      </c>
      <c r="Q409" s="21">
        <f t="shared" si="188"/>
        <v>0</v>
      </c>
      <c r="R409" s="21">
        <f t="shared" si="188"/>
        <v>163461.88</v>
      </c>
      <c r="S409" s="21">
        <f t="shared" si="188"/>
        <v>148817.39000000001</v>
      </c>
      <c r="T409" s="21">
        <f t="shared" si="188"/>
        <v>148817.39000000001</v>
      </c>
      <c r="U409" s="154">
        <f>+IFERROR((R409/N409),0%)</f>
        <v>0.72649724444444441</v>
      </c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314" t="s">
        <v>23</v>
      </c>
      <c r="C410" s="278" t="s">
        <v>24</v>
      </c>
      <c r="D410" s="40">
        <v>174247</v>
      </c>
      <c r="E410" s="278">
        <v>3</v>
      </c>
      <c r="F410" s="313">
        <v>142</v>
      </c>
      <c r="G410" s="40" t="str">
        <f>CONCATENATE(D410,"-",E410,"-",F410)</f>
        <v>174247-3-142</v>
      </c>
      <c r="H410" s="32">
        <f>IFERROR(VLOOKUP(G410,'Base Zero'!A:L,6,FALSE),0)</f>
        <v>275000</v>
      </c>
      <c r="I410" s="32">
        <f>IFERROR(VLOOKUP(G410,'Base Zero'!A:L,7,FALSE),0)</f>
        <v>0</v>
      </c>
      <c r="J410" s="23">
        <f>(H410+I410)</f>
        <v>275000</v>
      </c>
      <c r="K410" s="32">
        <f>(L410-J410)</f>
        <v>-50000</v>
      </c>
      <c r="L410" s="32">
        <f>IFERROR(VLOOKUP(G410,'Base Zero'!$A:$L,10,FALSE),0)</f>
        <v>225000</v>
      </c>
      <c r="M410" s="32">
        <f>+L410-N410</f>
        <v>0</v>
      </c>
      <c r="N410" s="32">
        <f>IFERROR(VLOOKUP(G410,'Base Zero'!$A:$P,16,FALSE),0)</f>
        <v>225000</v>
      </c>
      <c r="O410" s="32">
        <f>IFERROR(VLOOKUP(G410,'Base Execução'!A:M,6,FALSE),0)+IFERROR(VLOOKUP(G410,'Destaque Liberado pela CPRM'!A:F,6,FALSE),0)</f>
        <v>166258.76999999999</v>
      </c>
      <c r="P410" s="231">
        <f>+N410-O410</f>
        <v>58741.23000000001</v>
      </c>
      <c r="Q410" s="32"/>
      <c r="R410" s="231">
        <f>IFERROR(VLOOKUP(G410,'Base Execução'!$A:$K,7,FALSE),0)</f>
        <v>163461.88</v>
      </c>
      <c r="S410" s="231">
        <f>IFERROR(VLOOKUP(G410,'Base Execução'!$A:$K,9,FALSE),0)</f>
        <v>148817.39000000001</v>
      </c>
      <c r="T410" s="32">
        <f>IFERROR(VLOOKUP(G410,'Base Execução'!$A:$K,11,FALSE),0)</f>
        <v>148817.39000000001</v>
      </c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424" t="s">
        <v>294</v>
      </c>
      <c r="C411" s="278"/>
      <c r="D411" s="40"/>
      <c r="E411" s="278"/>
      <c r="F411" s="279"/>
      <c r="G411" s="278"/>
      <c r="H411" s="32"/>
      <c r="I411" s="32"/>
      <c r="J411" s="23"/>
      <c r="K411" s="32"/>
      <c r="L411" s="32"/>
      <c r="M411" s="32"/>
      <c r="N411" s="32"/>
      <c r="O411" s="32"/>
      <c r="P411" s="231"/>
      <c r="Q411" s="33"/>
      <c r="R411" s="232"/>
      <c r="S411" s="232"/>
      <c r="T411" s="31"/>
      <c r="U411" s="155"/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8" t="s">
        <v>157</v>
      </c>
      <c r="C412" s="278"/>
      <c r="D412" s="40"/>
      <c r="E412" s="278"/>
      <c r="F412" s="279"/>
      <c r="G412" s="278"/>
      <c r="H412" s="21">
        <f t="shared" ref="H412:T412" si="189">SUM(H413:H413)</f>
        <v>350000</v>
      </c>
      <c r="I412" s="21">
        <f t="shared" si="189"/>
        <v>0</v>
      </c>
      <c r="J412" s="21">
        <f t="shared" si="189"/>
        <v>350000</v>
      </c>
      <c r="K412" s="21">
        <f t="shared" si="189"/>
        <v>-44037</v>
      </c>
      <c r="L412" s="21">
        <f t="shared" si="189"/>
        <v>305963</v>
      </c>
      <c r="M412" s="21">
        <f t="shared" si="189"/>
        <v>0</v>
      </c>
      <c r="N412" s="21">
        <f t="shared" si="189"/>
        <v>305963</v>
      </c>
      <c r="O412" s="21">
        <f t="shared" si="189"/>
        <v>231799.65</v>
      </c>
      <c r="P412" s="228">
        <f t="shared" si="189"/>
        <v>74163.350000000006</v>
      </c>
      <c r="Q412" s="21">
        <f t="shared" si="189"/>
        <v>0</v>
      </c>
      <c r="R412" s="21">
        <f t="shared" si="189"/>
        <v>228694.27</v>
      </c>
      <c r="S412" s="21">
        <f t="shared" si="189"/>
        <v>159252.44</v>
      </c>
      <c r="T412" s="21">
        <f t="shared" si="189"/>
        <v>158243.74</v>
      </c>
      <c r="U412" s="154">
        <f>+IFERROR((R412/N412),0%)</f>
        <v>0.74745727424557873</v>
      </c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314" t="s">
        <v>23</v>
      </c>
      <c r="C413" s="278" t="s">
        <v>24</v>
      </c>
      <c r="D413" s="40">
        <v>174253</v>
      </c>
      <c r="E413" s="278">
        <v>3</v>
      </c>
      <c r="F413" s="313">
        <v>142</v>
      </c>
      <c r="G413" s="40" t="str">
        <f>CONCATENATE(D413,"-",E413,"-",F413)</f>
        <v>174253-3-142</v>
      </c>
      <c r="H413" s="32">
        <f>IFERROR(VLOOKUP(G413,'Base Zero'!A:L,6,FALSE),0)</f>
        <v>350000</v>
      </c>
      <c r="I413" s="32">
        <f>IFERROR(VLOOKUP(G413,'Base Zero'!A:L,7,FALSE),0)</f>
        <v>0</v>
      </c>
      <c r="J413" s="23">
        <f>(H413+I413)</f>
        <v>350000</v>
      </c>
      <c r="K413" s="32">
        <f>(L413-J413)</f>
        <v>-44037</v>
      </c>
      <c r="L413" s="32">
        <f>IFERROR(VLOOKUP(G413,'Base Zero'!$A:$L,10,FALSE),0)</f>
        <v>305963</v>
      </c>
      <c r="M413" s="32">
        <f>+L413-N413</f>
        <v>0</v>
      </c>
      <c r="N413" s="32">
        <f>IFERROR(VLOOKUP(G413,'Base Zero'!$A:$P,16,FALSE),0)</f>
        <v>305963</v>
      </c>
      <c r="O413" s="32">
        <f>IFERROR(VLOOKUP(G413,'Base Execução'!A:M,6,FALSE),0)+IFERROR(VLOOKUP(G413,'Destaque Liberado pela CPRM'!A:F,6,FALSE),0)</f>
        <v>231799.65</v>
      </c>
      <c r="P413" s="231">
        <f>+N413-O413</f>
        <v>74163.350000000006</v>
      </c>
      <c r="Q413" s="32"/>
      <c r="R413" s="231">
        <f>IFERROR(VLOOKUP(G413,'Base Execução'!$A:$K,7,FALSE),0)</f>
        <v>228694.27</v>
      </c>
      <c r="S413" s="231">
        <f>IFERROR(VLOOKUP(G413,'Base Execução'!$A:$K,9,FALSE),0)</f>
        <v>159252.44</v>
      </c>
      <c r="T413" s="32">
        <f>IFERROR(VLOOKUP(G413,'Base Execução'!$A:$K,11,FALSE),0)</f>
        <v>158243.74</v>
      </c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424" t="s">
        <v>159</v>
      </c>
      <c r="C414" s="278"/>
      <c r="D414" s="40"/>
      <c r="E414" s="278"/>
      <c r="F414" s="279"/>
      <c r="G414" s="278"/>
      <c r="H414" s="32"/>
      <c r="I414" s="32"/>
      <c r="J414" s="23"/>
      <c r="K414" s="32"/>
      <c r="L414" s="32"/>
      <c r="M414" s="32"/>
      <c r="N414" s="32"/>
      <c r="O414" s="32"/>
      <c r="P414" s="231"/>
      <c r="Q414" s="33"/>
      <c r="R414" s="232"/>
      <c r="S414" s="232"/>
      <c r="T414" s="31"/>
      <c r="U414" s="155"/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8" t="s">
        <v>158</v>
      </c>
      <c r="C415" s="278"/>
      <c r="D415" s="40"/>
      <c r="E415" s="278"/>
      <c r="F415" s="279"/>
      <c r="G415" s="278"/>
      <c r="H415" s="21">
        <f t="shared" ref="H415:T415" si="190">SUM(H416:H416)</f>
        <v>150000</v>
      </c>
      <c r="I415" s="21">
        <f t="shared" si="190"/>
        <v>0</v>
      </c>
      <c r="J415" s="21">
        <f t="shared" si="190"/>
        <v>150000</v>
      </c>
      <c r="K415" s="21">
        <f t="shared" si="190"/>
        <v>35000</v>
      </c>
      <c r="L415" s="21">
        <f t="shared" si="190"/>
        <v>185000</v>
      </c>
      <c r="M415" s="21">
        <f t="shared" si="190"/>
        <v>0</v>
      </c>
      <c r="N415" s="21">
        <f t="shared" si="190"/>
        <v>185000</v>
      </c>
      <c r="O415" s="21">
        <f t="shared" si="190"/>
        <v>161106.32</v>
      </c>
      <c r="P415" s="228">
        <f t="shared" si="190"/>
        <v>23893.679999999993</v>
      </c>
      <c r="Q415" s="21">
        <f t="shared" si="190"/>
        <v>0</v>
      </c>
      <c r="R415" s="21">
        <f t="shared" si="190"/>
        <v>153160.35999999999</v>
      </c>
      <c r="S415" s="21">
        <f t="shared" si="190"/>
        <v>137006.20000000001</v>
      </c>
      <c r="T415" s="21">
        <f t="shared" si="190"/>
        <v>136879.03</v>
      </c>
      <c r="U415" s="154">
        <f>+IFERROR((R415/N415),0%)</f>
        <v>0.82789383783783776</v>
      </c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x14ac:dyDescent="0.2">
      <c r="A416" s="95"/>
      <c r="B416" s="314" t="s">
        <v>23</v>
      </c>
      <c r="C416" s="278" t="s">
        <v>24</v>
      </c>
      <c r="D416" s="40">
        <v>174259</v>
      </c>
      <c r="E416" s="278">
        <v>3</v>
      </c>
      <c r="F416" s="313">
        <v>142</v>
      </c>
      <c r="G416" s="40" t="str">
        <f>CONCATENATE(D416,"-",E416,"-",F416)</f>
        <v>174259-3-142</v>
      </c>
      <c r="H416" s="32">
        <f>IFERROR(VLOOKUP(G416,'Base Zero'!A:L,6,FALSE),0)</f>
        <v>150000</v>
      </c>
      <c r="I416" s="32">
        <f>IFERROR(VLOOKUP(G416,'Base Zero'!A:L,7,FALSE),0)</f>
        <v>0</v>
      </c>
      <c r="J416" s="23">
        <f>(H416+I416)</f>
        <v>150000</v>
      </c>
      <c r="K416" s="32">
        <f>(L416-J416)</f>
        <v>35000</v>
      </c>
      <c r="L416" s="32">
        <f>IFERROR(VLOOKUP(G416,'Base Zero'!$A:$L,10,FALSE),0)</f>
        <v>185000</v>
      </c>
      <c r="M416" s="32">
        <f>+L416-N416</f>
        <v>0</v>
      </c>
      <c r="N416" s="32">
        <f>IFERROR(VLOOKUP(G416,'Base Zero'!$A:$P,16,FALSE),0)</f>
        <v>185000</v>
      </c>
      <c r="O416" s="32">
        <f>IFERROR(VLOOKUP(G416,'Base Execução'!A:M,6,FALSE),0)+IFERROR(VLOOKUP(G416,'Destaque Liberado pela CPRM'!A:F,6,FALSE),0)</f>
        <v>161106.32</v>
      </c>
      <c r="P416" s="231">
        <f>+N416-O416</f>
        <v>23893.679999999993</v>
      </c>
      <c r="Q416" s="32"/>
      <c r="R416" s="231">
        <f>IFERROR(VLOOKUP(G416,'Base Execução'!$A:$K,7,FALSE),0)</f>
        <v>153160.35999999999</v>
      </c>
      <c r="S416" s="231">
        <f>IFERROR(VLOOKUP(G416,'Base Execução'!$A:$K,9,FALSE),0)</f>
        <v>137006.20000000001</v>
      </c>
      <c r="T416" s="32">
        <f>IFERROR(VLOOKUP(G416,'Base Execução'!$A:$K,11,FALSE),0)</f>
        <v>136879.03</v>
      </c>
      <c r="U416" s="155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11" customFormat="1" ht="15" customHeight="1" thickBot="1" x14ac:dyDescent="0.25">
      <c r="A417" s="95"/>
      <c r="B417" s="35"/>
      <c r="C417" s="269"/>
      <c r="D417" s="39"/>
      <c r="E417" s="269"/>
      <c r="F417" s="44"/>
      <c r="G417" s="269"/>
      <c r="H417" s="31"/>
      <c r="I417" s="31"/>
      <c r="J417" s="28"/>
      <c r="K417" s="31"/>
      <c r="L417" s="31"/>
      <c r="M417" s="31"/>
      <c r="N417" s="31"/>
      <c r="O417" s="31"/>
      <c r="P417" s="232"/>
      <c r="Q417" s="35"/>
      <c r="R417" s="232"/>
      <c r="S417" s="232"/>
      <c r="T417" s="31"/>
      <c r="U417" s="154"/>
      <c r="V417" s="364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30" customHeight="1" thickTop="1" thickBot="1" x14ac:dyDescent="0.25">
      <c r="B418" s="415" t="s">
        <v>47</v>
      </c>
      <c r="C418" s="415"/>
      <c r="D418" s="414"/>
      <c r="E418" s="413"/>
      <c r="F418" s="417"/>
      <c r="G418" s="411"/>
      <c r="H418" s="412">
        <f t="shared" ref="H418:O418" si="191">H394+H380+H354+H328+H291+H281+H257+H248+H224+H208+H183+H149+H139+H125+H97+H83+H65+H57+H37+H29+H9</f>
        <v>517546895</v>
      </c>
      <c r="I418" s="412">
        <f t="shared" si="191"/>
        <v>-3436635</v>
      </c>
      <c r="J418" s="412">
        <f t="shared" si="191"/>
        <v>514110260</v>
      </c>
      <c r="K418" s="412">
        <f>K394+K380+K354+K328+K291+K281+K257+K248+K224+K208+K183+K149+K139+K125+K97+K83+K65+K57+K37+K29+K9</f>
        <v>-497547</v>
      </c>
      <c r="L418" s="412">
        <f t="shared" si="191"/>
        <v>513612713</v>
      </c>
      <c r="M418" s="412">
        <f>M394+M380+M354+M328+M291+M281+M257+M248+M224+M208+M183+M149+M139+M125+M97+M83+M65+M57+M37+M29+M9</f>
        <v>6627048.71</v>
      </c>
      <c r="N418" s="412">
        <f t="shared" si="191"/>
        <v>506985664.28999996</v>
      </c>
      <c r="O418" s="412">
        <f t="shared" si="191"/>
        <v>450259715.62</v>
      </c>
      <c r="P418" s="412">
        <f>P394+P380+P354+P328+P291+P281+P257+P248+P224+P208+P183+P149+P139+P125+P97+P83+P65+P57+P37+P29+P9</f>
        <v>56725948.670000002</v>
      </c>
      <c r="Q418" s="416"/>
      <c r="R418" s="412">
        <f>R394+R380+R354+R328+R291+R281+R257+R248+R224+R208+R183+R149+R139+R125+R97+R83+R65+R57+R37+R29+R9</f>
        <v>442632759.57999992</v>
      </c>
      <c r="S418" s="412">
        <f>S394+S380+S354+S328+S291+S281+S257+S248+S224+S208+S183+S149+S139+S125+S97+S83+S65+S57+S37+S29+S9</f>
        <v>382074252.19999999</v>
      </c>
      <c r="T418" s="412">
        <f>T394+T380+T354+T328+T291+T281+T257+T248+T224+T208+T183+T149+T139+T125+T97+T83+T65+T57+T37+T29+T9</f>
        <v>365042099.09999996</v>
      </c>
      <c r="U418" s="418">
        <f>(R418/N418)</f>
        <v>0.87306760478105028</v>
      </c>
      <c r="W418" s="14"/>
      <c r="X418" s="14"/>
    </row>
    <row r="419" spans="1:33" ht="15" customHeight="1" thickTop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1:33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1:33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1:33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1:33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1:33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1:33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1:33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1:33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1:33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1:33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1:33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1:33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1:33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"/>
      <c r="I481" s="3"/>
      <c r="J481" s="3"/>
      <c r="K481" s="3"/>
      <c r="L481" s="3"/>
      <c r="M481" s="3"/>
      <c r="N481" s="3"/>
      <c r="O481" s="3"/>
      <c r="P481" s="72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  <row r="790" spans="8:16" ht="15" customHeight="1" x14ac:dyDescent="0.2">
      <c r="H790" s="335"/>
      <c r="I790" s="335"/>
      <c r="J790" s="335"/>
      <c r="K790" s="335"/>
      <c r="L790" s="335"/>
      <c r="M790" s="335"/>
      <c r="N790" s="335"/>
      <c r="O790" s="335"/>
      <c r="P790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3" max="16383" man="1"/>
  </rowBreaks>
  <ignoredErrors>
    <ignoredError sqref="J401:T401 J408:T408 J410:M410 J413:M413 J403:M403 J411:T411 J395:T395 P403:Q403 P410:Q410 P413:Q41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44855</v>
      </c>
    </row>
    <row r="6" spans="1:27" ht="20.100000000000001" hidden="1" customHeight="1" x14ac:dyDescent="0.2">
      <c r="B6" s="85" t="s">
        <v>21</v>
      </c>
      <c r="C6" s="90"/>
      <c r="D6" s="376"/>
      <c r="E6" s="508" t="s">
        <v>89</v>
      </c>
      <c r="F6" s="509"/>
      <c r="G6" s="509"/>
      <c r="H6" s="510"/>
    </row>
    <row r="7" spans="1:27" s="91" customFormat="1" ht="18.75" customHeight="1" thickTop="1" x14ac:dyDescent="0.2">
      <c r="A7" s="63"/>
      <c r="B7" s="516" t="s">
        <v>21</v>
      </c>
      <c r="C7" s="511" t="s">
        <v>93</v>
      </c>
      <c r="D7" s="511" t="s">
        <v>127</v>
      </c>
      <c r="E7" s="511" t="s">
        <v>94</v>
      </c>
      <c r="F7" s="511" t="s">
        <v>307</v>
      </c>
      <c r="G7" s="511" t="s">
        <v>359</v>
      </c>
      <c r="H7" s="511" t="s">
        <v>105</v>
      </c>
      <c r="I7" s="511" t="s">
        <v>95</v>
      </c>
      <c r="J7" s="511" t="s">
        <v>298</v>
      </c>
      <c r="K7" s="511" t="s">
        <v>19</v>
      </c>
      <c r="L7" s="511" t="s">
        <v>330</v>
      </c>
      <c r="M7" s="511" t="s">
        <v>20</v>
      </c>
      <c r="N7" s="511" t="s">
        <v>329</v>
      </c>
      <c r="O7" s="511" t="s">
        <v>61</v>
      </c>
      <c r="P7" s="511" t="s">
        <v>331</v>
      </c>
      <c r="Q7" s="51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7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8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1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47000</v>
      </c>
      <c r="G11" s="389">
        <f>'Execução Orçamentária'!N37</f>
        <v>188000</v>
      </c>
      <c r="H11" s="389">
        <f>'Execução Orçamentária'!O37</f>
        <v>122564.76000000001</v>
      </c>
      <c r="I11" s="389">
        <f>+G11-H11</f>
        <v>65435.239999999991</v>
      </c>
      <c r="J11" s="374">
        <f>IFERROR((H11/G11),0%)</f>
        <v>0.65194021276595748</v>
      </c>
      <c r="K11" s="425">
        <f>'Execução Orçamentária'!R37</f>
        <v>122564.76000000001</v>
      </c>
      <c r="L11" s="374">
        <f>IFERROR((K11/G11),0%)</f>
        <v>0.65194021276595748</v>
      </c>
      <c r="M11" s="425">
        <f>'Execução Orçamentária'!S37</f>
        <v>122564.76000000001</v>
      </c>
      <c r="N11" s="374">
        <f>IFERROR((M11/G11),0%)</f>
        <v>0.65194021276595748</v>
      </c>
      <c r="O11" s="425">
        <f>'Execução Orçamentária'!T37</f>
        <v>122564.76000000001</v>
      </c>
      <c r="P11" s="374">
        <f>IFERROR((O11/G11),0%)</f>
        <v>0.65194021276595748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34735510.600000001</v>
      </c>
      <c r="I12" s="141">
        <f>G12-H12</f>
        <v>264489.39999999851</v>
      </c>
      <c r="J12" s="375">
        <f t="shared" ref="J12:J26" si="0">IFERROR((H12/G12),0%)</f>
        <v>0.99244315999999999</v>
      </c>
      <c r="K12" s="141">
        <f>'Execução Orçamentária'!R65</f>
        <v>34102567.670000002</v>
      </c>
      <c r="L12" s="374">
        <f t="shared" ref="L12:L26" si="1">IFERROR((K12/G12),0%)</f>
        <v>0.97435907628571439</v>
      </c>
      <c r="M12" s="141">
        <f>'Execução Orçamentária'!S65</f>
        <v>20033623.219999999</v>
      </c>
      <c r="N12" s="374">
        <f t="shared" ref="N12:N26" si="2">IFERROR((M12/G12),0%)</f>
        <v>0.57238923485714277</v>
      </c>
      <c r="O12" s="141">
        <f>'Execução Orçamentária'!T65</f>
        <v>19239714.5</v>
      </c>
      <c r="P12" s="374">
        <f t="shared" ref="P12:P26" si="3">IFERROR((O12/G12),0%)</f>
        <v>0.54970612857142853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145000</v>
      </c>
      <c r="G13" s="149">
        <f>'Execução Orçamentária'!N139</f>
        <v>1134168</v>
      </c>
      <c r="H13" s="149">
        <f>'Execução Orçamentária'!O139</f>
        <v>1130665.75</v>
      </c>
      <c r="I13" s="340">
        <f>G13-H13</f>
        <v>3502.25</v>
      </c>
      <c r="J13" s="375">
        <f t="shared" si="0"/>
        <v>0.99691205359347113</v>
      </c>
      <c r="K13" s="340">
        <f>'Execução Orçamentária'!R139</f>
        <v>1121797.48</v>
      </c>
      <c r="L13" s="374">
        <f t="shared" si="1"/>
        <v>0.98909286807598162</v>
      </c>
      <c r="M13" s="340">
        <f>'Execução Orçamentária'!S139</f>
        <v>969015.62</v>
      </c>
      <c r="N13" s="374">
        <f t="shared" si="2"/>
        <v>0.85438455325842377</v>
      </c>
      <c r="O13" s="340">
        <f>'Execução Orçamentária'!T139</f>
        <v>955325.2</v>
      </c>
      <c r="P13" s="374">
        <f t="shared" si="3"/>
        <v>0.84231366076277936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4110000</v>
      </c>
      <c r="G14" s="142">
        <f>'Execução Orçamentária'!N149</f>
        <v>12471211</v>
      </c>
      <c r="H14" s="142">
        <f>'Execução Orçamentária'!O149</f>
        <v>12381899.560000001</v>
      </c>
      <c r="I14" s="141">
        <f>+G14-H14</f>
        <v>89311.439999999478</v>
      </c>
      <c r="J14" s="375">
        <f t="shared" si="0"/>
        <v>0.99283859121620188</v>
      </c>
      <c r="K14" s="141">
        <f>'Execução Orçamentária'!R149</f>
        <v>12254377.960000001</v>
      </c>
      <c r="L14" s="374">
        <f t="shared" si="1"/>
        <v>0.98261331317383704</v>
      </c>
      <c r="M14" s="141">
        <f>'Execução Orçamentária'!S149</f>
        <v>2299065.62</v>
      </c>
      <c r="N14" s="374">
        <f t="shared" si="2"/>
        <v>0.18434982937903946</v>
      </c>
      <c r="O14" s="141">
        <f>'Execução Orçamentária'!T149</f>
        <v>2211402.0099999998</v>
      </c>
      <c r="P14" s="374">
        <f t="shared" si="3"/>
        <v>0.17732055130812877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4263684.21</v>
      </c>
      <c r="I15" s="141">
        <f>+G15-H15</f>
        <v>147240.79000000004</v>
      </c>
      <c r="J15" s="375">
        <f t="shared" si="0"/>
        <v>0.96661906742916737</v>
      </c>
      <c r="K15" s="141">
        <f>'Execução Orçamentária'!R183</f>
        <v>3552006.7499999995</v>
      </c>
      <c r="L15" s="374">
        <f t="shared" si="1"/>
        <v>0.80527480063705448</v>
      </c>
      <c r="M15" s="141">
        <f>'Execução Orçamentária'!S183</f>
        <v>1758460.5100000002</v>
      </c>
      <c r="N15" s="374">
        <f t="shared" si="2"/>
        <v>0.3986602606029348</v>
      </c>
      <c r="O15" s="141">
        <f>'Execução Orçamentária'!T183</f>
        <v>1683500.4300000002</v>
      </c>
      <c r="P15" s="374">
        <f t="shared" si="3"/>
        <v>0.38166607457619439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250000</v>
      </c>
      <c r="G16" s="142">
        <f>'Execução Orçamentária'!N208</f>
        <v>4150000</v>
      </c>
      <c r="H16" s="142">
        <f>'Execução Orçamentária'!O208</f>
        <v>4081567.9400000004</v>
      </c>
      <c r="I16" s="141">
        <f>+G16-H16</f>
        <v>68432.05999999959</v>
      </c>
      <c r="J16" s="375">
        <f t="shared" si="0"/>
        <v>0.98351034698795192</v>
      </c>
      <c r="K16" s="141">
        <f>'Execução Orçamentária'!R208</f>
        <v>3847926.1799999997</v>
      </c>
      <c r="L16" s="374">
        <f t="shared" si="1"/>
        <v>0.92721112771084335</v>
      </c>
      <c r="M16" s="141">
        <f>'Execução Orçamentária'!S208</f>
        <v>2590899.9899999998</v>
      </c>
      <c r="N16" s="374">
        <f t="shared" si="2"/>
        <v>0.62431325060240961</v>
      </c>
      <c r="O16" s="141">
        <f>'Execução Orçamentária'!T208</f>
        <v>2576546.0300000003</v>
      </c>
      <c r="P16" s="374">
        <f t="shared" si="3"/>
        <v>0.620854465060241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2610891.96</v>
      </c>
      <c r="I17" s="141">
        <f t="shared" ref="I17:I24" si="4">+G17-H17</f>
        <v>35663.040000000037</v>
      </c>
      <c r="J17" s="375">
        <f t="shared" si="0"/>
        <v>0.9865247312071731</v>
      </c>
      <c r="K17" s="141">
        <f>'Execução Orçamentária'!R224</f>
        <v>2592136.1800000002</v>
      </c>
      <c r="L17" s="374">
        <f t="shared" si="1"/>
        <v>0.97943786545150213</v>
      </c>
      <c r="M17" s="141">
        <f>'Execução Orçamentária'!S224</f>
        <v>1173599.17</v>
      </c>
      <c r="N17" s="374">
        <f t="shared" si="2"/>
        <v>0.44344408863598145</v>
      </c>
      <c r="O17" s="141">
        <f>'Execução Orçamentária'!T224</f>
        <v>1164155.92</v>
      </c>
      <c r="P17" s="374">
        <f t="shared" si="3"/>
        <v>0.43987595950206965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270000</v>
      </c>
      <c r="G19" s="142">
        <f>'Execução Orçamentária'!N257</f>
        <v>8551851</v>
      </c>
      <c r="H19" s="142">
        <f>'Execução Orçamentária'!O257</f>
        <v>8404645.2599999998</v>
      </c>
      <c r="I19" s="141">
        <f t="shared" si="4"/>
        <v>147205.74000000022</v>
      </c>
      <c r="J19" s="375">
        <f t="shared" si="0"/>
        <v>0.98278668091855204</v>
      </c>
      <c r="K19" s="141">
        <f>'Execução Orçamentária'!R257</f>
        <v>7731140.7400000012</v>
      </c>
      <c r="L19" s="374">
        <f t="shared" si="1"/>
        <v>0.90403127229415026</v>
      </c>
      <c r="M19" s="141">
        <f>'Execução Orçamentária'!S257</f>
        <v>5595451.79</v>
      </c>
      <c r="N19" s="374">
        <f t="shared" si="2"/>
        <v>0.65429715625307316</v>
      </c>
      <c r="O19" s="141">
        <f>'Execução Orçamentária'!T257</f>
        <v>5542034.4200000009</v>
      </c>
      <c r="P19" s="374">
        <f t="shared" si="3"/>
        <v>0.64805086290675562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1301457.74</v>
      </c>
      <c r="I20" s="141">
        <f t="shared" si="4"/>
        <v>21819.260000000009</v>
      </c>
      <c r="J20" s="375">
        <f t="shared" si="0"/>
        <v>0.98351119229004957</v>
      </c>
      <c r="K20" s="141">
        <f>'Execução Orçamentária'!R281</f>
        <v>1292476.47</v>
      </c>
      <c r="L20" s="374">
        <f t="shared" si="1"/>
        <v>0.97672404946205515</v>
      </c>
      <c r="M20" s="141">
        <f>'Execução Orçamentária'!S281</f>
        <v>1192295.94</v>
      </c>
      <c r="N20" s="374">
        <f t="shared" si="2"/>
        <v>0.90101765541152756</v>
      </c>
      <c r="O20" s="141">
        <f>'Execução Orçamentária'!T281</f>
        <v>1191886.73</v>
      </c>
      <c r="P20" s="374">
        <f t="shared" si="3"/>
        <v>0.90070841554716052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196706</v>
      </c>
      <c r="G21" s="142">
        <f>'Execução Orçamentária'!N291</f>
        <v>6619683</v>
      </c>
      <c r="H21" s="142">
        <f>'Execução Orçamentária'!O291</f>
        <v>6133576.9800000004</v>
      </c>
      <c r="I21" s="141">
        <f t="shared" si="4"/>
        <v>486106.01999999955</v>
      </c>
      <c r="J21" s="375">
        <f t="shared" si="0"/>
        <v>0.92656657123913644</v>
      </c>
      <c r="K21" s="141">
        <f>'Execução Orçamentária'!R291</f>
        <v>4776597.66</v>
      </c>
      <c r="L21" s="374">
        <f t="shared" si="1"/>
        <v>0.72157498478401461</v>
      </c>
      <c r="M21" s="141">
        <f>'Execução Orçamentária'!S291</f>
        <v>2498194.2000000007</v>
      </c>
      <c r="N21" s="374">
        <f t="shared" si="2"/>
        <v>0.37738879641215456</v>
      </c>
      <c r="O21" s="141">
        <f>'Execução Orçamentária'!T291</f>
        <v>2444171.4100000006</v>
      </c>
      <c r="P21" s="374">
        <f t="shared" si="3"/>
        <v>0.36922786332819874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Orçamentária'!J328</f>
        <v>10700000</v>
      </c>
      <c r="D22" s="141">
        <f>'Execução Orçamentária'!K328</f>
        <v>789000</v>
      </c>
      <c r="E22" s="141">
        <f>'Execução Orçamentária'!L328</f>
        <v>11489000</v>
      </c>
      <c r="F22" s="141">
        <f>'Execução Orçamentária'!M328</f>
        <v>291159.70999999996</v>
      </c>
      <c r="G22" s="141">
        <f>'Execução Orçamentária'!N328</f>
        <v>11197840.289999999</v>
      </c>
      <c r="H22" s="141">
        <f>'Execução Orçamentária'!O328</f>
        <v>10877084.98</v>
      </c>
      <c r="I22" s="141">
        <f t="shared" si="4"/>
        <v>320755.30999999866</v>
      </c>
      <c r="J22" s="375">
        <f t="shared" si="0"/>
        <v>0.97135560950208921</v>
      </c>
      <c r="K22" s="141">
        <f>'Execução Orçamentária'!R328</f>
        <v>10385930.619999999</v>
      </c>
      <c r="L22" s="374">
        <f t="shared" si="1"/>
        <v>0.92749408377211284</v>
      </c>
      <c r="M22" s="141">
        <f>'Execução Orçamentária'!S328</f>
        <v>7154578.1600000001</v>
      </c>
      <c r="N22" s="374">
        <f t="shared" si="2"/>
        <v>0.63892482610144463</v>
      </c>
      <c r="O22" s="141">
        <f>'Execução Orçamentária'!T328</f>
        <v>7081334.6200000001</v>
      </c>
      <c r="P22" s="374">
        <f t="shared" si="3"/>
        <v>0.63238396303292876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Orçamentária'!J354</f>
        <v>15200000</v>
      </c>
      <c r="D23" s="141">
        <f>'Execução Orçamentária'!K354</f>
        <v>-465725</v>
      </c>
      <c r="E23" s="141">
        <f>'Execução Orçamentária'!L354</f>
        <v>14734275</v>
      </c>
      <c r="F23" s="141">
        <f>'Execução Orçamentária'!M354</f>
        <v>232000</v>
      </c>
      <c r="G23" s="141">
        <f>'Execução Orçamentária'!N354</f>
        <v>14502275</v>
      </c>
      <c r="H23" s="141">
        <f>'Execução Orçamentária'!O354</f>
        <v>14273344.989999998</v>
      </c>
      <c r="I23" s="141">
        <f t="shared" si="4"/>
        <v>228930.01000000164</v>
      </c>
      <c r="J23" s="375">
        <f t="shared" si="0"/>
        <v>0.98421420018583283</v>
      </c>
      <c r="K23" s="141">
        <f>'Execução Orçamentária'!R354</f>
        <v>14071768.809999999</v>
      </c>
      <c r="L23" s="374">
        <f t="shared" si="1"/>
        <v>0.97031457547177935</v>
      </c>
      <c r="M23" s="141">
        <f>'Execução Orçamentária'!S354</f>
        <v>6946201.9699999997</v>
      </c>
      <c r="N23" s="374">
        <f t="shared" si="2"/>
        <v>0.47897326247088817</v>
      </c>
      <c r="O23" s="141">
        <f>'Execução Orçamentária'!T354</f>
        <v>6805518</v>
      </c>
      <c r="P23" s="374">
        <f t="shared" si="3"/>
        <v>0.46927244173758947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Orçamentária'!J380</f>
        <v>8500000</v>
      </c>
      <c r="D24" s="141">
        <f>'Execução Orçamentária'!K380</f>
        <v>0</v>
      </c>
      <c r="E24" s="141">
        <f>'Execução Orçamentária'!L380</f>
        <v>8500000</v>
      </c>
      <c r="F24" s="141">
        <f>'Execução Orçamentária'!M380</f>
        <v>0</v>
      </c>
      <c r="G24" s="141">
        <f>'Execução Orçamentária'!N380</f>
        <v>8500000</v>
      </c>
      <c r="H24" s="141">
        <f>'Execução Orçamentária'!O380</f>
        <v>8397329.0899999999</v>
      </c>
      <c r="I24" s="141">
        <f t="shared" si="4"/>
        <v>102670.91000000015</v>
      </c>
      <c r="J24" s="375">
        <f t="shared" si="0"/>
        <v>0.98792106941176472</v>
      </c>
      <c r="K24" s="141">
        <f>'Execução Orçamentária'!R380</f>
        <v>7618079.4799999995</v>
      </c>
      <c r="L24" s="374">
        <f t="shared" si="1"/>
        <v>0.89624464470588228</v>
      </c>
      <c r="M24" s="141">
        <f>'Execução Orçamentária'!S380</f>
        <v>4635509.08</v>
      </c>
      <c r="N24" s="374">
        <f t="shared" si="2"/>
        <v>0.54535400941176471</v>
      </c>
      <c r="O24" s="141">
        <f>'Execução Orçamentária'!T380</f>
        <v>4439306.55</v>
      </c>
      <c r="P24" s="374">
        <f t="shared" si="3"/>
        <v>0.52227135882352937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Orçamentária'!J394</f>
        <v>1000000</v>
      </c>
      <c r="D25" s="147">
        <f>'Execução Orçamentária'!K394</f>
        <v>-102651</v>
      </c>
      <c r="E25" s="147">
        <f>'Execução Orçamentária'!L394</f>
        <v>897349</v>
      </c>
      <c r="F25" s="147">
        <f>'Execução Orçamentária'!M394</f>
        <v>0</v>
      </c>
      <c r="G25" s="147">
        <f>'Execução Orçamentária'!N394</f>
        <v>897349</v>
      </c>
      <c r="H25" s="147">
        <f>'Execução Orçamentária'!O394</f>
        <v>714235</v>
      </c>
      <c r="I25" s="147">
        <f>G25-H25</f>
        <v>183114</v>
      </c>
      <c r="J25" s="390">
        <f t="shared" si="0"/>
        <v>0.79593892677208089</v>
      </c>
      <c r="K25" s="426">
        <f>'Execução Orçamentária'!R394</f>
        <v>700074.82</v>
      </c>
      <c r="L25" s="374">
        <f t="shared" si="1"/>
        <v>0.78015891253013037</v>
      </c>
      <c r="M25" s="426">
        <f>'Execução Orçamentária'!S394</f>
        <v>553781.33000000007</v>
      </c>
      <c r="N25" s="374">
        <f t="shared" si="2"/>
        <v>0.61713038071029225</v>
      </c>
      <c r="O25" s="426">
        <f>'Execução Orçamentária'!T394</f>
        <v>549075.64</v>
      </c>
      <c r="P25" s="374">
        <f t="shared" si="3"/>
        <v>0.61188638979928656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5541865.71</v>
      </c>
      <c r="G26" s="385">
        <f t="shared" si="5"/>
        <v>113958134.28999999</v>
      </c>
      <c r="H26" s="385">
        <f t="shared" si="5"/>
        <v>109428458.82000001</v>
      </c>
      <c r="I26" s="385">
        <f t="shared" si="5"/>
        <v>4529675.4699999979</v>
      </c>
      <c r="J26" s="386">
        <f t="shared" si="0"/>
        <v>0.96025140725388769</v>
      </c>
      <c r="K26" s="385">
        <f>SUM(K11:K25)</f>
        <v>104169445.58</v>
      </c>
      <c r="L26" s="386">
        <f t="shared" si="1"/>
        <v>0.9141027643968811</v>
      </c>
      <c r="M26" s="385">
        <f>SUM(M11:M25)</f>
        <v>57523241.359999999</v>
      </c>
      <c r="N26" s="386">
        <f t="shared" si="2"/>
        <v>0.50477521168971751</v>
      </c>
      <c r="O26" s="385">
        <f>SUM(O11:O25)</f>
        <v>56006536.219999999</v>
      </c>
      <c r="P26" s="386">
        <f t="shared" si="3"/>
        <v>0.491465892881985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44855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8" t="s">
        <v>89</v>
      </c>
      <c r="F6" s="509"/>
      <c r="G6" s="509"/>
      <c r="H6" s="510"/>
    </row>
    <row r="7" spans="1:27" s="91" customFormat="1" ht="18.75" customHeight="1" thickTop="1" x14ac:dyDescent="0.2">
      <c r="A7" s="63"/>
      <c r="B7" s="516" t="s">
        <v>21</v>
      </c>
      <c r="C7" s="511" t="s">
        <v>93</v>
      </c>
      <c r="D7" s="511" t="s">
        <v>127</v>
      </c>
      <c r="E7" s="511" t="s">
        <v>94</v>
      </c>
      <c r="F7" s="511" t="s">
        <v>307</v>
      </c>
      <c r="G7" s="511" t="s">
        <v>359</v>
      </c>
      <c r="H7" s="511" t="s">
        <v>105</v>
      </c>
      <c r="I7" s="511" t="s">
        <v>95</v>
      </c>
      <c r="J7" s="511" t="s">
        <v>298</v>
      </c>
      <c r="K7" s="511" t="s">
        <v>19</v>
      </c>
      <c r="L7" s="511" t="s">
        <v>330</v>
      </c>
      <c r="M7" s="511" t="s">
        <v>20</v>
      </c>
      <c r="N7" s="511" t="s">
        <v>329</v>
      </c>
      <c r="O7" s="511" t="s">
        <v>61</v>
      </c>
      <c r="P7" s="511" t="s">
        <v>331</v>
      </c>
      <c r="Q7" s="513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7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4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7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4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8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15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298244928.63</v>
      </c>
      <c r="I11" s="340">
        <f>+G11-H11</f>
        <v>45418574.370000005</v>
      </c>
      <c r="J11" s="374">
        <f>IFERROR((H11/G11),0%)</f>
        <v>0.86783998308368515</v>
      </c>
      <c r="K11" s="427">
        <f>'Execução Orçamentária'!R125</f>
        <v>296276691</v>
      </c>
      <c r="L11" s="374">
        <f>IFERROR((K11/G11),0%)</f>
        <v>0.86211275975965362</v>
      </c>
      <c r="M11" s="427">
        <f>'Execução Orçamentária'!S125</f>
        <v>291577301.24000001</v>
      </c>
      <c r="N11" s="374">
        <f>IFERROR((M11/G11),0%)</f>
        <v>0.84843836687540253</v>
      </c>
      <c r="O11" s="427">
        <f>'Execução Orçamentária'!T125</f>
        <v>276351518.88999999</v>
      </c>
      <c r="P11" s="374">
        <f>IFERROR((O11/G11),0%)</f>
        <v>0.80413403366257363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24960448.880000003</v>
      </c>
      <c r="I12" s="147">
        <f>+G12-H12</f>
        <v>1628658.1199999973</v>
      </c>
      <c r="J12" s="374">
        <f t="shared" ref="J12:J19" si="0">IFERROR((H12/G12),0%)</f>
        <v>0.93874716740204933</v>
      </c>
      <c r="K12" s="141">
        <f>'Execução Orçamentária'!R83</f>
        <v>24577873.830000002</v>
      </c>
      <c r="L12" s="374">
        <f t="shared" ref="L12:L19" si="1">IFERROR((K12/G12),0%)</f>
        <v>0.9243587545080022</v>
      </c>
      <c r="M12" s="141">
        <f>'Execução Orçamentária'!S83</f>
        <v>17974195.989999998</v>
      </c>
      <c r="N12" s="374">
        <f t="shared" ref="N12:N19" si="2">IFERROR((M12/G12),0%)</f>
        <v>0.67599848276213259</v>
      </c>
      <c r="O12" s="141">
        <f>'Execução Orçamentária'!T83</f>
        <v>17684530.379999999</v>
      </c>
      <c r="P12" s="374">
        <f t="shared" ref="P12:P19" si="3">IFERROR((O12/G12),0%)</f>
        <v>0.66510433690006965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1003599.52</v>
      </c>
      <c r="I13" s="147">
        <f t="shared" ref="I13:I18" si="4">+G13-H13</f>
        <v>945902.48</v>
      </c>
      <c r="J13" s="374">
        <f t="shared" si="0"/>
        <v>0.51479789197446324</v>
      </c>
      <c r="K13" s="141">
        <f>'Execução Orçamentária'!R104</f>
        <v>986480.6</v>
      </c>
      <c r="L13" s="374">
        <f t="shared" si="1"/>
        <v>0.50601671606389731</v>
      </c>
      <c r="M13" s="141">
        <f>'Execução Orçamentária'!S104</f>
        <v>984599.28</v>
      </c>
      <c r="N13" s="374">
        <f t="shared" si="2"/>
        <v>0.50505169012393936</v>
      </c>
      <c r="O13" s="141">
        <f>'Execução Orçamentária'!T104</f>
        <v>984599.28</v>
      </c>
      <c r="P13" s="374">
        <f t="shared" si="3"/>
        <v>0.50505169012393936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134668.99</v>
      </c>
      <c r="I14" s="147">
        <f t="shared" si="4"/>
        <v>98508.010000000009</v>
      </c>
      <c r="J14" s="374">
        <f t="shared" si="0"/>
        <v>0.57753976592888656</v>
      </c>
      <c r="K14" s="141">
        <f>'Execução Orçamentária'!R111</f>
        <v>134657.79</v>
      </c>
      <c r="L14" s="374">
        <f t="shared" si="1"/>
        <v>0.57749173374732499</v>
      </c>
      <c r="M14" s="141">
        <f>'Execução Orçamentária'!S111</f>
        <v>134039.95000000001</v>
      </c>
      <c r="N14" s="374">
        <f t="shared" si="2"/>
        <v>0.57484207276017796</v>
      </c>
      <c r="O14" s="141">
        <f>'Execução Orçamentária'!T111</f>
        <v>134039.95000000001</v>
      </c>
      <c r="P14" s="374">
        <f t="shared" si="3"/>
        <v>0.57484207276017796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11045034.810000001</v>
      </c>
      <c r="N15" s="374">
        <f t="shared" si="2"/>
        <v>0.62653576279822187</v>
      </c>
      <c r="O15" s="141">
        <f>'Execução Orçamentária'!T118</f>
        <v>11045034.810000001</v>
      </c>
      <c r="P15" s="374">
        <f t="shared" si="3"/>
        <v>0.62653576279822187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246051.53</v>
      </c>
      <c r="I16" s="147">
        <f t="shared" si="4"/>
        <v>106816.47</v>
      </c>
      <c r="J16" s="374">
        <f t="shared" si="0"/>
        <v>0.69729057324551957</v>
      </c>
      <c r="K16" s="141">
        <f>'Execução Orçamentária'!R29</f>
        <v>246051.53</v>
      </c>
      <c r="L16" s="374">
        <f t="shared" si="1"/>
        <v>0.69729057324551957</v>
      </c>
      <c r="M16" s="141">
        <f>'Execução Orçamentária'!S29</f>
        <v>239686.64</v>
      </c>
      <c r="N16" s="374">
        <f t="shared" si="2"/>
        <v>0.67925297845086552</v>
      </c>
      <c r="O16" s="141">
        <f>'Execução Orçamentária'!T29</f>
        <v>239686.64</v>
      </c>
      <c r="P16" s="374">
        <f t="shared" si="3"/>
        <v>0.67925297845086552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1785818</v>
      </c>
      <c r="E17" s="142">
        <f>'Execução Orçamentária'!L9</f>
        <v>3695818</v>
      </c>
      <c r="F17" s="142">
        <f>'Execução Orçamentária'!M9</f>
        <v>1085183</v>
      </c>
      <c r="G17" s="142">
        <f>'Execução Orçamentária'!N9</f>
        <v>2610635</v>
      </c>
      <c r="H17" s="142">
        <f>'Execução Orçamentária'!O9</f>
        <v>2596152.9300000002</v>
      </c>
      <c r="I17" s="147">
        <f t="shared" si="4"/>
        <v>14482.069999999832</v>
      </c>
      <c r="J17" s="374">
        <f t="shared" si="0"/>
        <v>0.99445266381550856</v>
      </c>
      <c r="K17" s="141">
        <f>'Execução Orçamentária'!R9</f>
        <v>2596152.9300000002</v>
      </c>
      <c r="L17" s="374">
        <f t="shared" si="1"/>
        <v>0.99445266381550856</v>
      </c>
      <c r="M17" s="141">
        <f>'Execução Orçamentária'!S9</f>
        <v>2596152.9300000002</v>
      </c>
      <c r="N17" s="374">
        <f t="shared" si="2"/>
        <v>0.99445266381550856</v>
      </c>
      <c r="O17" s="141">
        <f>'Execução Orçamentária'!T9</f>
        <v>2596152.9300000002</v>
      </c>
      <c r="P17" s="374">
        <f t="shared" si="3"/>
        <v>0.99445266381550856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5252453</v>
      </c>
      <c r="E19" s="385">
        <f t="shared" si="5"/>
        <v>394112713</v>
      </c>
      <c r="F19" s="385">
        <f t="shared" si="5"/>
        <v>1085183</v>
      </c>
      <c r="G19" s="385">
        <f t="shared" si="5"/>
        <v>393027530</v>
      </c>
      <c r="H19" s="385">
        <f t="shared" si="5"/>
        <v>340831256.79999995</v>
      </c>
      <c r="I19" s="385">
        <f t="shared" si="5"/>
        <v>52196273.199999996</v>
      </c>
      <c r="J19" s="386">
        <f t="shared" si="0"/>
        <v>0.86719435862419092</v>
      </c>
      <c r="K19" s="385">
        <f>SUM(K11:K18)</f>
        <v>338463314</v>
      </c>
      <c r="L19" s="386">
        <f t="shared" si="1"/>
        <v>0.86116948092669232</v>
      </c>
      <c r="M19" s="385">
        <f>SUM(M11:M18)</f>
        <v>324551010.83999997</v>
      </c>
      <c r="N19" s="386">
        <f t="shared" si="2"/>
        <v>0.82577169807926676</v>
      </c>
      <c r="O19" s="385">
        <f>SUM(O11:O18)</f>
        <v>309035562.87999994</v>
      </c>
      <c r="P19" s="386">
        <f t="shared" si="3"/>
        <v>0.78629495211187861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44857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8" t="s">
        <v>89</v>
      </c>
      <c r="N6" s="509"/>
      <c r="O6" s="509"/>
      <c r="P6" s="51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9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1" t="s">
        <v>126</v>
      </c>
      <c r="K7" s="523" t="s">
        <v>93</v>
      </c>
      <c r="L7" s="525" t="s">
        <v>127</v>
      </c>
      <c r="M7" s="525" t="s">
        <v>94</v>
      </c>
      <c r="N7" s="527" t="s">
        <v>186</v>
      </c>
      <c r="O7" s="525" t="s">
        <v>194</v>
      </c>
      <c r="P7" s="527" t="s">
        <v>105</v>
      </c>
      <c r="Q7" s="525" t="s">
        <v>95</v>
      </c>
      <c r="R7" s="527" t="s">
        <v>188</v>
      </c>
      <c r="S7" s="530" t="s">
        <v>187</v>
      </c>
      <c r="T7" s="527" t="s">
        <v>193</v>
      </c>
      <c r="U7" s="530" t="s">
        <v>190</v>
      </c>
      <c r="V7" s="527" t="s">
        <v>61</v>
      </c>
      <c r="W7" s="530" t="s">
        <v>192</v>
      </c>
      <c r="X7" s="53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0"/>
      <c r="C8" s="193"/>
      <c r="D8" s="194"/>
      <c r="E8" s="193"/>
      <c r="F8" s="195"/>
      <c r="G8" s="193"/>
      <c r="H8" s="196"/>
      <c r="I8" s="196"/>
      <c r="J8" s="522"/>
      <c r="K8" s="524"/>
      <c r="L8" s="526"/>
      <c r="M8" s="526"/>
      <c r="N8" s="528"/>
      <c r="O8" s="526"/>
      <c r="P8" s="528"/>
      <c r="Q8" s="526"/>
      <c r="R8" s="528"/>
      <c r="S8" s="531"/>
      <c r="T8" s="528"/>
      <c r="U8" s="531"/>
      <c r="V8" s="528"/>
      <c r="W8" s="531"/>
      <c r="X8" s="53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0"/>
      <c r="C9" s="193"/>
      <c r="D9" s="194"/>
      <c r="E9" s="193"/>
      <c r="F9" s="195"/>
      <c r="G9" s="193"/>
      <c r="H9" s="196"/>
      <c r="I9" s="196"/>
      <c r="J9" s="522"/>
      <c r="K9" s="524"/>
      <c r="L9" s="526"/>
      <c r="M9" s="526"/>
      <c r="N9" s="529"/>
      <c r="O9" s="526"/>
      <c r="P9" s="529"/>
      <c r="Q9" s="526"/>
      <c r="R9" s="529"/>
      <c r="S9" s="531"/>
      <c r="T9" s="529"/>
      <c r="U9" s="531"/>
      <c r="V9" s="529"/>
      <c r="W9" s="531"/>
      <c r="X9" s="53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0"/>
      <c r="C10" s="193"/>
      <c r="D10" s="194"/>
      <c r="E10" s="193"/>
      <c r="F10" s="195"/>
      <c r="G10" s="193"/>
      <c r="H10" s="196"/>
      <c r="I10" s="196"/>
      <c r="J10" s="522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Orçamentária'!J394</f>
        <v>1000000</v>
      </c>
      <c r="L17" s="92">
        <f>+'Execução Orçamentária'!K394</f>
        <v>-102651</v>
      </c>
      <c r="M17" s="92">
        <f>+'Execução Orçamentária'!L394</f>
        <v>897349</v>
      </c>
      <c r="N17" s="92">
        <f>+'Execução Orçamentária'!M394</f>
        <v>0</v>
      </c>
      <c r="O17" s="92" t="e">
        <f>+'Execução Orçamentária'!N403+'Execução Orçamentária'!#REF!+'Execução Orçamentária'!N410</f>
        <v>#REF!</v>
      </c>
      <c r="P17" s="92">
        <f>+'Execução Orçamentária'!O394</f>
        <v>714235</v>
      </c>
      <c r="Q17" s="92" t="e">
        <f t="shared" ref="Q17:Q22" si="3">+O17-P17</f>
        <v>#REF!</v>
      </c>
      <c r="R17" s="92">
        <f>'Execução Orçamentária'!R394</f>
        <v>700074.82</v>
      </c>
      <c r="S17" s="243" t="e">
        <f t="shared" si="2"/>
        <v>#REF!</v>
      </c>
      <c r="T17" s="92">
        <f>'Execução Orçamentária'!S394</f>
        <v>553781.33000000007</v>
      </c>
      <c r="U17" s="93" t="e">
        <f t="shared" si="0"/>
        <v>#REF!</v>
      </c>
      <c r="V17" s="92">
        <f>'Execução Orçamentária'!T394</f>
        <v>549075.64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2022-10-24T12:14:14Z</dcterms:modified>
</cp:coreProperties>
</file>