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7 - JUL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Execução'!$A$4:$M$83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L86" i="3" l="1"/>
  <c r="K86" i="3"/>
  <c r="J86" i="3"/>
  <c r="I86" i="3"/>
  <c r="H83" i="3"/>
  <c r="H86" i="3"/>
  <c r="T95" i="3"/>
  <c r="S95" i="3"/>
  <c r="R95" i="3"/>
  <c r="L93" i="3"/>
  <c r="K93" i="3"/>
  <c r="J93" i="3"/>
  <c r="I93" i="3"/>
  <c r="H93" i="3"/>
  <c r="O95" i="3"/>
  <c r="N95" i="3"/>
  <c r="M95" i="3" s="1"/>
  <c r="L95" i="3"/>
  <c r="I95" i="3"/>
  <c r="H95" i="3"/>
  <c r="J95" i="3" s="1"/>
  <c r="K95" i="3" s="1"/>
  <c r="G95" i="3"/>
  <c r="P97" i="1"/>
  <c r="P96" i="1"/>
  <c r="A97" i="1"/>
  <c r="A96" i="1"/>
  <c r="A82" i="15"/>
  <c r="A81" i="15"/>
  <c r="P95" i="3" l="1"/>
  <c r="P95" i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N324" i="3" l="1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0" i="3"/>
  <c r="T195" i="3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R240" i="3"/>
  <c r="R229" i="3" s="1"/>
  <c r="S240" i="3"/>
  <c r="R339" i="3"/>
  <c r="S339" i="3"/>
  <c r="T339" i="3"/>
  <c r="R405" i="3"/>
  <c r="R395" i="3" s="1"/>
  <c r="T405" i="3"/>
  <c r="T395" i="3" s="1"/>
  <c r="S405" i="3"/>
  <c r="T406" i="3"/>
  <c r="T216" i="3"/>
  <c r="S406" i="3"/>
  <c r="R406" i="3"/>
  <c r="S216" i="3"/>
  <c r="S211" i="3" s="1"/>
  <c r="R216" i="3"/>
  <c r="R211" i="3" s="1"/>
  <c r="T77" i="3"/>
  <c r="R388" i="3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R115" i="3"/>
  <c r="R114" i="3" s="1"/>
  <c r="R122" i="3"/>
  <c r="S137" i="3"/>
  <c r="S129" i="3" s="1"/>
  <c r="T122" i="3"/>
  <c r="T108" i="3"/>
  <c r="R137" i="3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R79" i="3"/>
  <c r="R70" i="3" s="1"/>
  <c r="R202" i="3"/>
  <c r="S269" i="3"/>
  <c r="T90" i="3"/>
  <c r="R17" i="3"/>
  <c r="S166" i="3"/>
  <c r="S165" i="3" s="1"/>
  <c r="S239" i="3"/>
  <c r="R270" i="3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91" i="3"/>
  <c r="T384" i="3" s="1"/>
  <c r="R112" i="3"/>
  <c r="T245" i="3"/>
  <c r="T265" i="3"/>
  <c r="R46" i="3"/>
  <c r="R45" i="3" s="1"/>
  <c r="R222" i="3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T178" i="3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S295" i="3" s="1"/>
  <c r="R192" i="3"/>
  <c r="R80" i="3"/>
  <c r="R71" i="3" s="1"/>
  <c r="S178" i="3"/>
  <c r="R254" i="3"/>
  <c r="R288" i="3"/>
  <c r="T351" i="3"/>
  <c r="T350" i="3" s="1"/>
  <c r="T389" i="3"/>
  <c r="R26" i="3"/>
  <c r="S81" i="3"/>
  <c r="S72" i="3" s="1"/>
  <c r="T156" i="3"/>
  <c r="S289" i="3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R308" i="3" s="1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T16" i="3"/>
  <c r="S202" i="3"/>
  <c r="S201" i="3" s="1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86" i="3" s="1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I91" i="3"/>
  <c r="O306" i="3"/>
  <c r="O91" i="3"/>
  <c r="O86" i="3" s="1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93" i="3" s="1"/>
  <c r="O27" i="3"/>
  <c r="O409" i="3"/>
  <c r="O388" i="3"/>
  <c r="O364" i="3"/>
  <c r="O303" i="3"/>
  <c r="O238" i="3"/>
  <c r="S12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T188" i="3"/>
  <c r="I305" i="3"/>
  <c r="I297" i="3" s="1"/>
  <c r="H305" i="3"/>
  <c r="L305" i="3"/>
  <c r="L195" i="3"/>
  <c r="I195" i="3"/>
  <c r="I188" i="3" s="1"/>
  <c r="H195" i="3"/>
  <c r="T229" i="3"/>
  <c r="S229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T211" i="3"/>
  <c r="R381" i="3"/>
  <c r="R129" i="3"/>
  <c r="T129" i="3"/>
  <c r="L136" i="3"/>
  <c r="I136" i="3"/>
  <c r="H136" i="3"/>
  <c r="I79" i="3"/>
  <c r="I70" i="3" s="1"/>
  <c r="I80" i="3"/>
  <c r="I71" i="3" s="1"/>
  <c r="I78" i="3"/>
  <c r="I81" i="3"/>
  <c r="I72" i="3" s="1"/>
  <c r="R221" i="3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97" i="3" s="1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R341" i="3"/>
  <c r="S51" i="3"/>
  <c r="S152" i="3"/>
  <c r="T70" i="3"/>
  <c r="T45" i="3"/>
  <c r="T142" i="3"/>
  <c r="T341" i="3"/>
  <c r="T260" i="3"/>
  <c r="R171" i="3"/>
  <c r="S174" i="3"/>
  <c r="T177" i="3"/>
  <c r="S177" i="3"/>
  <c r="S284" i="3"/>
  <c r="T48" i="3"/>
  <c r="R72" i="3"/>
  <c r="S71" i="3"/>
  <c r="R261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I187" i="3" l="1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M86" i="3" s="1"/>
  <c r="J306" i="3"/>
  <c r="H298" i="3"/>
  <c r="J91" i="3"/>
  <c r="L298" i="3"/>
  <c r="M306" i="3"/>
  <c r="M298" i="3" s="1"/>
  <c r="P91" i="3"/>
  <c r="P86" i="3" s="1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M16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M93" i="3" s="1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P93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H291" i="3" l="1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K16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J291" i="3" l="1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5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F25" i="26" s="1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5" i="15" s="1"/>
  <c r="P17" i="28"/>
  <c r="Q17" i="28" s="1"/>
  <c r="O417" i="3"/>
  <c r="R17" i="28"/>
  <c r="V17" i="28"/>
  <c r="W17" i="28" s="1"/>
  <c r="T417" i="3"/>
  <c r="K85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7" i="3" l="1"/>
  <c r="N100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1" i="3"/>
  <c r="K97" i="3"/>
  <c r="D21" i="26"/>
  <c r="K183" i="3"/>
  <c r="D15" i="26" s="1"/>
  <c r="U417" i="3"/>
  <c r="K393" i="3"/>
  <c r="D25" i="26" s="1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M41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<sst xmlns="http://schemas.openxmlformats.org/spreadsheetml/2006/main" count="1225" uniqueCount="361">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</sst>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3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1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vertical="center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179" fontId="60" fillId="12" borderId="54" xfId="0" applyNumberFormat="1" applyFont="1" applyFill="1" applyBorder="1" applyAlignment="1">
      <alignment horizontal="right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44759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9" t="s">
        <v>93</v>
      </c>
      <c r="L7" s="526" t="s">
        <v>125</v>
      </c>
      <c r="M7" s="541" t="s">
        <v>94</v>
      </c>
      <c r="N7" s="543" t="s">
        <v>186</v>
      </c>
      <c r="O7" s="541" t="s">
        <v>116</v>
      </c>
      <c r="P7" s="543" t="s">
        <v>105</v>
      </c>
      <c r="Q7" s="541" t="s">
        <v>95</v>
      </c>
      <c r="R7" s="543" t="s">
        <v>188</v>
      </c>
      <c r="S7" s="546" t="s">
        <v>187</v>
      </c>
      <c r="T7" s="543" t="s">
        <v>189</v>
      </c>
      <c r="U7" s="543" t="s">
        <v>190</v>
      </c>
      <c r="V7" s="543" t="s">
        <v>191</v>
      </c>
      <c r="W7" s="543" t="s">
        <v>192</v>
      </c>
      <c r="X7" s="54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7"/>
      <c r="C8" s="208"/>
      <c r="D8" s="209"/>
      <c r="E8" s="208"/>
      <c r="F8" s="210"/>
      <c r="G8" s="208"/>
      <c r="H8" s="211"/>
      <c r="I8" s="211"/>
      <c r="J8" s="212"/>
      <c r="K8" s="540"/>
      <c r="L8" s="527"/>
      <c r="M8" s="542"/>
      <c r="N8" s="544"/>
      <c r="O8" s="542"/>
      <c r="P8" s="544"/>
      <c r="Q8" s="542"/>
      <c r="R8" s="544"/>
      <c r="S8" s="547"/>
      <c r="T8" s="544"/>
      <c r="U8" s="544"/>
      <c r="V8" s="544"/>
      <c r="W8" s="544"/>
      <c r="X8" s="54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7"/>
      <c r="C9" s="208"/>
      <c r="D9" s="209"/>
      <c r="E9" s="208"/>
      <c r="F9" s="210"/>
      <c r="G9" s="208"/>
      <c r="H9" s="211"/>
      <c r="I9" s="211"/>
      <c r="J9" s="212"/>
      <c r="K9" s="540"/>
      <c r="L9" s="527"/>
      <c r="M9" s="542"/>
      <c r="N9" s="545"/>
      <c r="O9" s="542"/>
      <c r="P9" s="545"/>
      <c r="Q9" s="542"/>
      <c r="R9" s="545"/>
      <c r="S9" s="547"/>
      <c r="T9" s="545"/>
      <c r="U9" s="545"/>
      <c r="V9" s="545"/>
      <c r="W9" s="545"/>
      <c r="X9" s="54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3"/>
      <c r="D81" s="483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53" activePane="bottomRight" state="frozen"/>
      <selection activeCell="B3" sqref="B3:B4"/>
      <selection pane="topRight" activeCell="B3" sqref="B3:B4"/>
      <selection pane="bottomLeft" activeCell="B3" sqref="B3:B4"/>
      <selection pane="bottomRight" activeCell="T26" sqref="T26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7" t="s">
        <v>48</v>
      </c>
      <c r="B3" s="487" t="s">
        <v>62</v>
      </c>
      <c r="C3" s="487" t="s">
        <v>348</v>
      </c>
      <c r="D3" s="487"/>
      <c r="E3" s="487" t="s">
        <v>349</v>
      </c>
      <c r="F3" s="484" t="s">
        <v>86</v>
      </c>
      <c r="G3" s="484" t="s">
        <v>350</v>
      </c>
      <c r="H3" s="484" t="s">
        <v>87</v>
      </c>
      <c r="I3" s="484" t="s">
        <v>351</v>
      </c>
      <c r="J3" s="484" t="s">
        <v>2</v>
      </c>
      <c r="K3" s="484" t="s">
        <v>352</v>
      </c>
      <c r="L3" s="484" t="s">
        <v>88</v>
      </c>
      <c r="M3" s="484" t="s">
        <v>4</v>
      </c>
      <c r="N3" s="484" t="s">
        <v>5</v>
      </c>
      <c r="O3" s="484" t="s">
        <v>12</v>
      </c>
      <c r="P3" s="484" t="s">
        <v>3</v>
      </c>
    </row>
    <row r="4" spans="1:17" s="445" customFormat="1" ht="32.1" customHeight="1" x14ac:dyDescent="0.2">
      <c r="A4" s="488"/>
      <c r="B4" s="487"/>
      <c r="C4" s="487"/>
      <c r="D4" s="487"/>
      <c r="E4" s="487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0</v>
      </c>
      <c r="N5" s="474">
        <v>0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31878.38</v>
      </c>
      <c r="N6" s="475">
        <v>31878.38</v>
      </c>
      <c r="O6" s="475"/>
      <c r="P6" s="448">
        <f t="shared" ref="P6:P96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221349.45</v>
      </c>
      <c r="N7" s="474">
        <v>221349.45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30000</v>
      </c>
      <c r="J16" s="475">
        <v>352868</v>
      </c>
      <c r="K16" s="475">
        <v>0</v>
      </c>
      <c r="L16" s="475">
        <v>352868</v>
      </c>
      <c r="M16" s="475">
        <v>191793.57</v>
      </c>
      <c r="N16" s="475">
        <v>191793.57</v>
      </c>
      <c r="O16" s="47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158478863.71000001</v>
      </c>
      <c r="N17" s="474">
        <v>158478863.71000001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-25591140</v>
      </c>
      <c r="J18" s="475">
        <v>0</v>
      </c>
      <c r="K18" s="475">
        <v>0</v>
      </c>
      <c r="L18" s="475">
        <v>0</v>
      </c>
      <c r="M18" s="550">
        <v>-11509307.119999999</v>
      </c>
      <c r="N18" s="550"/>
      <c r="O18" s="475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65">
        <v>174224</v>
      </c>
      <c r="C19" s="466">
        <v>3</v>
      </c>
      <c r="D19" s="467" t="s">
        <v>8</v>
      </c>
      <c r="E19" s="466">
        <v>188</v>
      </c>
      <c r="F19" s="474"/>
      <c r="G19" s="474">
        <v>0</v>
      </c>
      <c r="H19" s="474">
        <v>0</v>
      </c>
      <c r="I19" s="474">
        <v>25591140</v>
      </c>
      <c r="J19" s="474">
        <v>25591140</v>
      </c>
      <c r="K19" s="474">
        <v>0</v>
      </c>
      <c r="L19" s="474">
        <v>25591140</v>
      </c>
      <c r="M19" s="474">
        <v>5081832.88</v>
      </c>
      <c r="N19" s="474">
        <v>5081832.88</v>
      </c>
      <c r="O19" s="474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69">
        <v>174225</v>
      </c>
      <c r="C20" s="470">
        <v>3</v>
      </c>
      <c r="D20" s="471" t="s">
        <v>8</v>
      </c>
      <c r="E20" s="470">
        <v>151</v>
      </c>
      <c r="F20" s="475">
        <v>997967</v>
      </c>
      <c r="G20" s="475">
        <v>0</v>
      </c>
      <c r="H20" s="475">
        <v>997967</v>
      </c>
      <c r="I20" s="475">
        <v>-997967</v>
      </c>
      <c r="J20" s="475">
        <v>0</v>
      </c>
      <c r="K20" s="475">
        <v>0</v>
      </c>
      <c r="L20" s="475">
        <v>0</v>
      </c>
      <c r="M20" s="550">
        <v>-295655.58</v>
      </c>
      <c r="N20" s="550"/>
      <c r="O20" s="47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65">
        <v>174225</v>
      </c>
      <c r="C21" s="466">
        <v>3</v>
      </c>
      <c r="D21" s="467" t="s">
        <v>8</v>
      </c>
      <c r="E21" s="466">
        <v>188</v>
      </c>
      <c r="F21" s="474"/>
      <c r="G21" s="474">
        <v>0</v>
      </c>
      <c r="H21" s="474">
        <v>0</v>
      </c>
      <c r="I21" s="474">
        <v>997967</v>
      </c>
      <c r="J21" s="474">
        <v>997967</v>
      </c>
      <c r="K21" s="474">
        <v>0</v>
      </c>
      <c r="L21" s="474">
        <v>997967</v>
      </c>
      <c r="M21" s="474">
        <v>702311.42</v>
      </c>
      <c r="N21" s="474">
        <v>702311.42</v>
      </c>
      <c r="O21" s="474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69">
        <v>174228</v>
      </c>
      <c r="C22" s="470">
        <v>3</v>
      </c>
      <c r="D22" s="471" t="s">
        <v>8</v>
      </c>
      <c r="E22" s="470">
        <v>142</v>
      </c>
      <c r="F22" s="475">
        <v>400000</v>
      </c>
      <c r="G22" s="475">
        <v>0</v>
      </c>
      <c r="H22" s="475">
        <v>400000</v>
      </c>
      <c r="I22" s="475">
        <v>-400000</v>
      </c>
      <c r="J22" s="475">
        <v>0</v>
      </c>
      <c r="K22" s="475">
        <v>0</v>
      </c>
      <c r="L22" s="475">
        <v>0</v>
      </c>
      <c r="M22" s="475">
        <v>0</v>
      </c>
      <c r="N22" s="475">
        <v>0</v>
      </c>
      <c r="O22" s="475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65">
        <v>174229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-400000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69">
        <v>174230</v>
      </c>
      <c r="C24" s="470">
        <v>3</v>
      </c>
      <c r="D24" s="471" t="s">
        <v>8</v>
      </c>
      <c r="E24" s="470">
        <v>142</v>
      </c>
      <c r="F24" s="475">
        <v>300000</v>
      </c>
      <c r="G24" s="475">
        <v>0</v>
      </c>
      <c r="H24" s="475">
        <v>300000</v>
      </c>
      <c r="I24" s="475">
        <v>100000</v>
      </c>
      <c r="J24" s="475">
        <v>400000</v>
      </c>
      <c r="K24" s="475">
        <v>0</v>
      </c>
      <c r="L24" s="475">
        <v>400000</v>
      </c>
      <c r="M24" s="475">
        <v>150629.49</v>
      </c>
      <c r="N24" s="475">
        <v>150629.49</v>
      </c>
      <c r="O24" s="475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65">
        <v>174231</v>
      </c>
      <c r="C25" s="466">
        <v>3</v>
      </c>
      <c r="D25" s="467" t="s">
        <v>8</v>
      </c>
      <c r="E25" s="466">
        <v>142</v>
      </c>
      <c r="F25" s="474">
        <v>400000</v>
      </c>
      <c r="G25" s="474">
        <v>0</v>
      </c>
      <c r="H25" s="474">
        <v>400000</v>
      </c>
      <c r="I25" s="474">
        <v>100000</v>
      </c>
      <c r="J25" s="474">
        <v>500000</v>
      </c>
      <c r="K25" s="474">
        <v>0</v>
      </c>
      <c r="L25" s="474">
        <v>500000</v>
      </c>
      <c r="M25" s="474">
        <v>92483.45</v>
      </c>
      <c r="N25" s="474">
        <v>92483.45</v>
      </c>
      <c r="O25" s="474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69">
        <v>174231</v>
      </c>
      <c r="C26" s="470">
        <v>4</v>
      </c>
      <c r="D26" s="471" t="s">
        <v>7</v>
      </c>
      <c r="E26" s="470">
        <v>142</v>
      </c>
      <c r="F26" s="475">
        <v>200000</v>
      </c>
      <c r="G26" s="475">
        <v>0</v>
      </c>
      <c r="H26" s="475">
        <v>200000</v>
      </c>
      <c r="I26" s="475">
        <v>81211</v>
      </c>
      <c r="J26" s="475">
        <v>281211</v>
      </c>
      <c r="K26" s="475">
        <v>0</v>
      </c>
      <c r="L26" s="475">
        <v>281211</v>
      </c>
      <c r="M26" s="475">
        <v>0.94000000000232797</v>
      </c>
      <c r="N26" s="475">
        <v>0.94</v>
      </c>
      <c r="O26" s="475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65">
        <v>174232</v>
      </c>
      <c r="C27" s="466">
        <v>3</v>
      </c>
      <c r="D27" s="467" t="s">
        <v>8</v>
      </c>
      <c r="E27" s="466">
        <v>100</v>
      </c>
      <c r="F27" s="474"/>
      <c r="G27" s="474">
        <v>4950000</v>
      </c>
      <c r="H27" s="474">
        <v>4950000</v>
      </c>
      <c r="I27" s="474">
        <v>0</v>
      </c>
      <c r="J27" s="474">
        <v>4950000</v>
      </c>
      <c r="K27" s="474">
        <v>0</v>
      </c>
      <c r="L27" s="474">
        <v>4950000</v>
      </c>
      <c r="M27" s="474">
        <v>2150000</v>
      </c>
      <c r="N27" s="474">
        <v>2150000</v>
      </c>
      <c r="O27" s="474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69">
        <v>174232</v>
      </c>
      <c r="C28" s="470">
        <v>3</v>
      </c>
      <c r="D28" s="471" t="s">
        <v>8</v>
      </c>
      <c r="E28" s="470">
        <v>142</v>
      </c>
      <c r="F28" s="475">
        <v>33000000</v>
      </c>
      <c r="G28" s="475">
        <v>-4950000</v>
      </c>
      <c r="H28" s="475">
        <v>28050000</v>
      </c>
      <c r="I28" s="475">
        <v>1200000</v>
      </c>
      <c r="J28" s="475">
        <v>29250000</v>
      </c>
      <c r="K28" s="475">
        <v>0</v>
      </c>
      <c r="L28" s="475">
        <v>29250000</v>
      </c>
      <c r="M28" s="475">
        <v>2564088.7400000002</v>
      </c>
      <c r="N28" s="475">
        <v>2231166.79</v>
      </c>
      <c r="O28" s="475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65">
        <v>174232</v>
      </c>
      <c r="C29" s="466">
        <v>4</v>
      </c>
      <c r="D29" s="467" t="s">
        <v>7</v>
      </c>
      <c r="E29" s="466">
        <v>142</v>
      </c>
      <c r="F29" s="474">
        <v>2000000</v>
      </c>
      <c r="G29" s="474">
        <v>0</v>
      </c>
      <c r="H29" s="474">
        <v>2000000</v>
      </c>
      <c r="I29" s="474">
        <v>-1200000</v>
      </c>
      <c r="J29" s="474">
        <v>800000</v>
      </c>
      <c r="K29" s="474">
        <v>0</v>
      </c>
      <c r="L29" s="474">
        <v>800000</v>
      </c>
      <c r="M29" s="474">
        <v>629452.11</v>
      </c>
      <c r="N29" s="474">
        <v>629452.11</v>
      </c>
      <c r="O29" s="474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69">
        <v>174233</v>
      </c>
      <c r="C30" s="470">
        <v>3</v>
      </c>
      <c r="D30" s="471" t="s">
        <v>8</v>
      </c>
      <c r="E30" s="470">
        <v>142</v>
      </c>
      <c r="F30" s="475">
        <v>200000</v>
      </c>
      <c r="G30" s="475">
        <v>0</v>
      </c>
      <c r="H30" s="475">
        <v>200000</v>
      </c>
      <c r="I30" s="475">
        <v>0</v>
      </c>
      <c r="J30" s="475">
        <v>200000</v>
      </c>
      <c r="K30" s="475">
        <v>0</v>
      </c>
      <c r="L30" s="475">
        <v>200000</v>
      </c>
      <c r="M30" s="475">
        <v>104.510000000009</v>
      </c>
      <c r="N30" s="475">
        <v>104.51</v>
      </c>
      <c r="O30" s="475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65">
        <v>174233</v>
      </c>
      <c r="C31" s="466">
        <v>4</v>
      </c>
      <c r="D31" s="467" t="s">
        <v>7</v>
      </c>
      <c r="E31" s="466">
        <v>142</v>
      </c>
      <c r="F31" s="474">
        <v>150000</v>
      </c>
      <c r="G31" s="474">
        <v>0</v>
      </c>
      <c r="H31" s="474">
        <v>150000</v>
      </c>
      <c r="I31" s="474">
        <v>0</v>
      </c>
      <c r="J31" s="474">
        <v>150000</v>
      </c>
      <c r="K31" s="474">
        <v>0</v>
      </c>
      <c r="L31" s="474">
        <v>150000</v>
      </c>
      <c r="M31" s="474">
        <v>5948.84</v>
      </c>
      <c r="N31" s="474">
        <v>5948.84</v>
      </c>
      <c r="O31" s="474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69">
        <v>174234</v>
      </c>
      <c r="C32" s="470">
        <v>3</v>
      </c>
      <c r="D32" s="471" t="s">
        <v>8</v>
      </c>
      <c r="E32" s="470">
        <v>142</v>
      </c>
      <c r="F32" s="475">
        <v>1000000</v>
      </c>
      <c r="G32" s="475">
        <v>0</v>
      </c>
      <c r="H32" s="475">
        <v>1000000</v>
      </c>
      <c r="I32" s="475">
        <v>0</v>
      </c>
      <c r="J32" s="475">
        <v>1000000</v>
      </c>
      <c r="K32" s="475">
        <v>0</v>
      </c>
      <c r="L32" s="475">
        <v>1000000</v>
      </c>
      <c r="M32" s="475">
        <v>531559.03</v>
      </c>
      <c r="N32" s="475">
        <v>531559.03</v>
      </c>
      <c r="O32" s="475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65">
        <v>174234</v>
      </c>
      <c r="C33" s="466">
        <v>4</v>
      </c>
      <c r="D33" s="467" t="s">
        <v>7</v>
      </c>
      <c r="E33" s="466">
        <v>142</v>
      </c>
      <c r="F33" s="474">
        <v>300000</v>
      </c>
      <c r="G33" s="474">
        <v>0</v>
      </c>
      <c r="H33" s="474">
        <v>300000</v>
      </c>
      <c r="I33" s="474">
        <v>700000</v>
      </c>
      <c r="J33" s="474">
        <v>1000000</v>
      </c>
      <c r="K33" s="474">
        <v>0</v>
      </c>
      <c r="L33" s="474">
        <v>1000000</v>
      </c>
      <c r="M33" s="474">
        <v>183981.38</v>
      </c>
      <c r="N33" s="474">
        <v>183981.38</v>
      </c>
      <c r="O33" s="474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69">
        <v>174235</v>
      </c>
      <c r="C34" s="470">
        <v>3</v>
      </c>
      <c r="D34" s="471" t="s">
        <v>8</v>
      </c>
      <c r="E34" s="470">
        <v>142</v>
      </c>
      <c r="F34" s="475">
        <v>200000</v>
      </c>
      <c r="G34" s="475">
        <v>0</v>
      </c>
      <c r="H34" s="475">
        <v>200000</v>
      </c>
      <c r="I34" s="475">
        <v>0</v>
      </c>
      <c r="J34" s="475">
        <v>200000</v>
      </c>
      <c r="K34" s="475">
        <v>0</v>
      </c>
      <c r="L34" s="475">
        <v>200000</v>
      </c>
      <c r="M34" s="475">
        <v>92780.63</v>
      </c>
      <c r="N34" s="475">
        <v>92780.63</v>
      </c>
      <c r="O34" s="475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65">
        <v>174236</v>
      </c>
      <c r="C35" s="466">
        <v>3</v>
      </c>
      <c r="D35" s="467" t="s">
        <v>8</v>
      </c>
      <c r="E35" s="466">
        <v>142</v>
      </c>
      <c r="F35" s="474">
        <v>200000</v>
      </c>
      <c r="G35" s="474">
        <v>0</v>
      </c>
      <c r="H35" s="474">
        <v>200000</v>
      </c>
      <c r="I35" s="474">
        <v>-50000</v>
      </c>
      <c r="J35" s="474">
        <v>150000</v>
      </c>
      <c r="K35" s="474">
        <v>0</v>
      </c>
      <c r="L35" s="474">
        <v>150000</v>
      </c>
      <c r="M35" s="474">
        <v>60662.7</v>
      </c>
      <c r="N35" s="474">
        <v>60662.7</v>
      </c>
      <c r="O35" s="474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469">
        <v>174236</v>
      </c>
      <c r="C36" s="470">
        <v>4</v>
      </c>
      <c r="D36" s="471" t="s">
        <v>7</v>
      </c>
      <c r="E36" s="470">
        <v>142</v>
      </c>
      <c r="F36" s="475">
        <v>25000</v>
      </c>
      <c r="G36" s="475">
        <v>0</v>
      </c>
      <c r="H36" s="475">
        <v>25000</v>
      </c>
      <c r="I36" s="475">
        <v>-23614</v>
      </c>
      <c r="J36" s="475">
        <v>1386</v>
      </c>
      <c r="K36" s="475">
        <v>0</v>
      </c>
      <c r="L36" s="475">
        <v>1386</v>
      </c>
      <c r="M36" s="475">
        <v>0</v>
      </c>
      <c r="N36" s="475">
        <v>0</v>
      </c>
      <c r="O36" s="475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65">
        <v>174237</v>
      </c>
      <c r="C37" s="466">
        <v>3</v>
      </c>
      <c r="D37" s="467" t="s">
        <v>8</v>
      </c>
      <c r="E37" s="466">
        <v>142</v>
      </c>
      <c r="F37" s="474">
        <v>1305000</v>
      </c>
      <c r="G37" s="474">
        <v>0</v>
      </c>
      <c r="H37" s="474">
        <v>1305000</v>
      </c>
      <c r="I37" s="474">
        <v>-170832</v>
      </c>
      <c r="J37" s="474">
        <v>1134168</v>
      </c>
      <c r="K37" s="474">
        <v>0</v>
      </c>
      <c r="L37" s="474">
        <v>1134168</v>
      </c>
      <c r="M37" s="474">
        <v>375633.76</v>
      </c>
      <c r="N37" s="474">
        <v>101933.75999999999</v>
      </c>
      <c r="O37" s="474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69">
        <v>174237</v>
      </c>
      <c r="C38" s="470">
        <v>4</v>
      </c>
      <c r="D38" s="471" t="s">
        <v>7</v>
      </c>
      <c r="E38" s="470">
        <v>142</v>
      </c>
      <c r="F38" s="475">
        <v>145000</v>
      </c>
      <c r="G38" s="475">
        <v>0</v>
      </c>
      <c r="H38" s="475">
        <v>145000</v>
      </c>
      <c r="I38" s="475">
        <v>0</v>
      </c>
      <c r="J38" s="475">
        <v>145000</v>
      </c>
      <c r="K38" s="475">
        <v>0</v>
      </c>
      <c r="L38" s="475">
        <v>145000</v>
      </c>
      <c r="M38" s="475">
        <v>145000</v>
      </c>
      <c r="N38" s="475">
        <v>145000</v>
      </c>
      <c r="O38" s="475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65">
        <v>174238</v>
      </c>
      <c r="C39" s="466">
        <v>3</v>
      </c>
      <c r="D39" s="467" t="s">
        <v>8</v>
      </c>
      <c r="E39" s="466">
        <v>142</v>
      </c>
      <c r="F39" s="474">
        <v>200000</v>
      </c>
      <c r="G39" s="474">
        <v>0</v>
      </c>
      <c r="H39" s="474">
        <v>200000</v>
      </c>
      <c r="I39" s="474">
        <v>0</v>
      </c>
      <c r="J39" s="474">
        <v>200000</v>
      </c>
      <c r="K39" s="474">
        <v>0</v>
      </c>
      <c r="L39" s="474">
        <v>200000</v>
      </c>
      <c r="M39" s="474">
        <v>38471.86</v>
      </c>
      <c r="N39" s="474">
        <v>38471.86</v>
      </c>
      <c r="O39" s="474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69">
        <v>174239</v>
      </c>
      <c r="C40" s="470">
        <v>3</v>
      </c>
      <c r="D40" s="471" t="s">
        <v>8</v>
      </c>
      <c r="E40" s="470">
        <v>142</v>
      </c>
      <c r="F40" s="475">
        <v>5692518</v>
      </c>
      <c r="G40" s="475">
        <v>0</v>
      </c>
      <c r="H40" s="475">
        <v>5692518</v>
      </c>
      <c r="I40" s="475">
        <v>0</v>
      </c>
      <c r="J40" s="475">
        <v>5692518</v>
      </c>
      <c r="K40" s="475">
        <v>0</v>
      </c>
      <c r="L40" s="475">
        <v>5692518</v>
      </c>
      <c r="M40" s="475">
        <v>2522821.88</v>
      </c>
      <c r="N40" s="475">
        <v>2522821.88</v>
      </c>
      <c r="O40" s="475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65">
        <v>174239</v>
      </c>
      <c r="C41" s="466">
        <v>4</v>
      </c>
      <c r="D41" s="467" t="s">
        <v>7</v>
      </c>
      <c r="E41" s="466">
        <v>142</v>
      </c>
      <c r="F41" s="474">
        <v>1000000</v>
      </c>
      <c r="G41" s="474">
        <v>0</v>
      </c>
      <c r="H41" s="474">
        <v>1000000</v>
      </c>
      <c r="I41" s="474">
        <v>0</v>
      </c>
      <c r="J41" s="474">
        <v>1000000</v>
      </c>
      <c r="K41" s="474">
        <v>0</v>
      </c>
      <c r="L41" s="474">
        <v>1000000</v>
      </c>
      <c r="M41" s="474">
        <v>972084.45</v>
      </c>
      <c r="N41" s="474">
        <v>972084.45</v>
      </c>
      <c r="O41" s="474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69">
        <v>174239</v>
      </c>
      <c r="C42" s="470">
        <v>3</v>
      </c>
      <c r="D42" s="471" t="s">
        <v>8</v>
      </c>
      <c r="E42" s="470">
        <v>150</v>
      </c>
      <c r="F42" s="475">
        <v>1807482</v>
      </c>
      <c r="G42" s="475">
        <v>0</v>
      </c>
      <c r="H42" s="475">
        <v>1807482</v>
      </c>
      <c r="I42" s="475">
        <v>0</v>
      </c>
      <c r="J42" s="475">
        <v>1807482</v>
      </c>
      <c r="K42" s="475">
        <v>0</v>
      </c>
      <c r="L42" s="475">
        <v>1807482</v>
      </c>
      <c r="M42" s="475">
        <v>1193392.31</v>
      </c>
      <c r="N42" s="475">
        <v>1193392.31</v>
      </c>
      <c r="O42" s="475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65">
        <v>174240</v>
      </c>
      <c r="C43" s="466">
        <v>3</v>
      </c>
      <c r="D43" s="467" t="s">
        <v>8</v>
      </c>
      <c r="E43" s="466">
        <v>142</v>
      </c>
      <c r="F43" s="474">
        <v>1408632</v>
      </c>
      <c r="G43" s="474">
        <v>0</v>
      </c>
      <c r="H43" s="474">
        <v>1408632</v>
      </c>
      <c r="I43" s="474">
        <v>-976723</v>
      </c>
      <c r="J43" s="474">
        <v>431909</v>
      </c>
      <c r="K43" s="474">
        <v>0</v>
      </c>
      <c r="L43" s="474">
        <v>431909</v>
      </c>
      <c r="M43" s="474">
        <v>131911.88</v>
      </c>
      <c r="N43" s="474">
        <v>131911.88</v>
      </c>
      <c r="O43" s="474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69">
        <v>174240</v>
      </c>
      <c r="C44" s="470">
        <v>4</v>
      </c>
      <c r="D44" s="471" t="s">
        <v>7</v>
      </c>
      <c r="E44" s="470">
        <v>142</v>
      </c>
      <c r="F44" s="475">
        <v>91368</v>
      </c>
      <c r="G44" s="475">
        <v>0</v>
      </c>
      <c r="H44" s="475">
        <v>91368</v>
      </c>
      <c r="I44" s="475">
        <v>800000</v>
      </c>
      <c r="J44" s="475">
        <v>891368</v>
      </c>
      <c r="K44" s="475">
        <v>0</v>
      </c>
      <c r="L44" s="475">
        <v>891368</v>
      </c>
      <c r="M44" s="475">
        <v>850497</v>
      </c>
      <c r="N44" s="475">
        <v>850497</v>
      </c>
      <c r="O44" s="475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65">
        <v>174241</v>
      </c>
      <c r="C45" s="466">
        <v>3</v>
      </c>
      <c r="D45" s="467" t="s">
        <v>8</v>
      </c>
      <c r="E45" s="466">
        <v>142</v>
      </c>
      <c r="F45" s="474">
        <v>1999999</v>
      </c>
      <c r="G45" s="474">
        <v>0</v>
      </c>
      <c r="H45" s="474">
        <v>1999999</v>
      </c>
      <c r="I45" s="474">
        <v>0</v>
      </c>
      <c r="J45" s="474">
        <v>1999999</v>
      </c>
      <c r="K45" s="474">
        <v>0</v>
      </c>
      <c r="L45" s="474">
        <v>1999999</v>
      </c>
      <c r="M45" s="474">
        <v>335325.32</v>
      </c>
      <c r="N45" s="474">
        <v>335325.32</v>
      </c>
      <c r="O45" s="474"/>
      <c r="P45" s="449">
        <f>+L45-O45</f>
        <v>1999999</v>
      </c>
    </row>
    <row r="46" spans="1:16" ht="17.100000000000001" customHeight="1" x14ac:dyDescent="0.2">
      <c r="A46" s="446" t="str">
        <f t="shared" si="2"/>
        <v>174241-4-142</v>
      </c>
      <c r="B46" s="469">
        <v>174241</v>
      </c>
      <c r="C46" s="470">
        <v>4</v>
      </c>
      <c r="D46" s="471" t="s">
        <v>7</v>
      </c>
      <c r="E46" s="470">
        <v>142</v>
      </c>
      <c r="F46" s="475">
        <v>1000000</v>
      </c>
      <c r="G46" s="475">
        <v>0</v>
      </c>
      <c r="H46" s="475">
        <v>1000000</v>
      </c>
      <c r="I46" s="475">
        <v>0</v>
      </c>
      <c r="J46" s="475">
        <v>1000000</v>
      </c>
      <c r="K46" s="475">
        <v>0</v>
      </c>
      <c r="L46" s="475">
        <v>1000000</v>
      </c>
      <c r="M46" s="475">
        <v>674656.56</v>
      </c>
      <c r="N46" s="475">
        <v>674656.56</v>
      </c>
      <c r="O46" s="475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65">
        <v>174242</v>
      </c>
      <c r="C47" s="466">
        <v>3</v>
      </c>
      <c r="D47" s="467" t="s">
        <v>8</v>
      </c>
      <c r="E47" s="466">
        <v>142</v>
      </c>
      <c r="F47" s="474">
        <v>1490000</v>
      </c>
      <c r="G47" s="474">
        <v>0</v>
      </c>
      <c r="H47" s="474">
        <v>1490000</v>
      </c>
      <c r="I47" s="474">
        <v>2050000</v>
      </c>
      <c r="J47" s="474">
        <v>3540000</v>
      </c>
      <c r="K47" s="474">
        <v>0</v>
      </c>
      <c r="L47" s="474">
        <v>3540000</v>
      </c>
      <c r="M47" s="474">
        <v>2157431.56</v>
      </c>
      <c r="N47" s="474">
        <v>2157431.56</v>
      </c>
      <c r="O47" s="474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69">
        <v>174242</v>
      </c>
      <c r="C48" s="470">
        <v>4</v>
      </c>
      <c r="D48" s="471" t="s">
        <v>7</v>
      </c>
      <c r="E48" s="470">
        <v>142</v>
      </c>
      <c r="F48" s="475">
        <v>1700000</v>
      </c>
      <c r="G48" s="475">
        <v>0</v>
      </c>
      <c r="H48" s="475">
        <v>1700000</v>
      </c>
      <c r="I48" s="475">
        <v>0</v>
      </c>
      <c r="J48" s="475">
        <v>1700000</v>
      </c>
      <c r="K48" s="475">
        <v>0</v>
      </c>
      <c r="L48" s="475">
        <v>1700000</v>
      </c>
      <c r="M48" s="475">
        <v>1386911.75</v>
      </c>
      <c r="N48" s="475">
        <v>1386911.75</v>
      </c>
      <c r="O48" s="475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65">
        <v>174243</v>
      </c>
      <c r="C49" s="466">
        <v>3</v>
      </c>
      <c r="D49" s="467" t="s">
        <v>8</v>
      </c>
      <c r="E49" s="466">
        <v>142</v>
      </c>
      <c r="F49" s="474">
        <v>200000</v>
      </c>
      <c r="G49" s="474">
        <v>0</v>
      </c>
      <c r="H49" s="474">
        <v>200000</v>
      </c>
      <c r="I49" s="474">
        <v>0</v>
      </c>
      <c r="J49" s="474">
        <v>200000</v>
      </c>
      <c r="K49" s="474">
        <v>0</v>
      </c>
      <c r="L49" s="474">
        <v>200000</v>
      </c>
      <c r="M49" s="474">
        <v>72076.86</v>
      </c>
      <c r="N49" s="474">
        <v>72076.86</v>
      </c>
      <c r="O49" s="474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69">
        <v>174244</v>
      </c>
      <c r="C50" s="470">
        <v>3</v>
      </c>
      <c r="D50" s="471" t="s">
        <v>8</v>
      </c>
      <c r="E50" s="470">
        <v>142</v>
      </c>
      <c r="F50" s="475">
        <v>200000</v>
      </c>
      <c r="G50" s="475">
        <v>0</v>
      </c>
      <c r="H50" s="475">
        <v>200000</v>
      </c>
      <c r="I50" s="475">
        <v>0</v>
      </c>
      <c r="J50" s="475">
        <v>200000</v>
      </c>
      <c r="K50" s="475">
        <v>0</v>
      </c>
      <c r="L50" s="475">
        <v>200000</v>
      </c>
      <c r="M50" s="475">
        <v>114988.52</v>
      </c>
      <c r="N50" s="475">
        <v>114988.52</v>
      </c>
      <c r="O50" s="475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65">
        <v>174245</v>
      </c>
      <c r="C51" s="466">
        <v>3</v>
      </c>
      <c r="D51" s="467" t="s">
        <v>8</v>
      </c>
      <c r="E51" s="466">
        <v>142</v>
      </c>
      <c r="F51" s="474">
        <v>3539578</v>
      </c>
      <c r="G51" s="474">
        <v>0</v>
      </c>
      <c r="H51" s="474">
        <v>3539578</v>
      </c>
      <c r="I51" s="474">
        <v>0</v>
      </c>
      <c r="J51" s="474">
        <v>3539578</v>
      </c>
      <c r="K51" s="474">
        <v>0</v>
      </c>
      <c r="L51" s="474">
        <v>3539578</v>
      </c>
      <c r="M51" s="474">
        <v>1270604.32</v>
      </c>
      <c r="N51" s="474">
        <v>1270604.32</v>
      </c>
      <c r="O51" s="474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69">
        <v>174245</v>
      </c>
      <c r="C52" s="470">
        <v>4</v>
      </c>
      <c r="D52" s="471" t="s">
        <v>7</v>
      </c>
      <c r="E52" s="470">
        <v>142</v>
      </c>
      <c r="F52" s="475">
        <v>2460422</v>
      </c>
      <c r="G52" s="475">
        <v>0</v>
      </c>
      <c r="H52" s="475">
        <v>2460422</v>
      </c>
      <c r="I52" s="475">
        <v>0</v>
      </c>
      <c r="J52" s="475">
        <v>2460422</v>
      </c>
      <c r="K52" s="475">
        <v>0</v>
      </c>
      <c r="L52" s="475">
        <v>2460422</v>
      </c>
      <c r="M52" s="475">
        <v>2052430.34</v>
      </c>
      <c r="N52" s="475">
        <v>2052430.34</v>
      </c>
      <c r="O52" s="475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65">
        <v>174246</v>
      </c>
      <c r="C53" s="466">
        <v>3</v>
      </c>
      <c r="D53" s="467" t="s">
        <v>8</v>
      </c>
      <c r="E53" s="466">
        <v>142</v>
      </c>
      <c r="F53" s="474">
        <v>300000</v>
      </c>
      <c r="G53" s="474">
        <v>0</v>
      </c>
      <c r="H53" s="474">
        <v>300000</v>
      </c>
      <c r="I53" s="474">
        <v>-50000</v>
      </c>
      <c r="J53" s="474">
        <v>250000</v>
      </c>
      <c r="K53" s="474">
        <v>0</v>
      </c>
      <c r="L53" s="474">
        <v>250000</v>
      </c>
      <c r="M53" s="474">
        <v>6688.03</v>
      </c>
      <c r="N53" s="474">
        <v>6688.03</v>
      </c>
      <c r="O53" s="474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69">
        <v>174247</v>
      </c>
      <c r="C54" s="470">
        <v>3</v>
      </c>
      <c r="D54" s="471" t="s">
        <v>8</v>
      </c>
      <c r="E54" s="470">
        <v>142</v>
      </c>
      <c r="F54" s="475">
        <v>275000</v>
      </c>
      <c r="G54" s="475">
        <v>0</v>
      </c>
      <c r="H54" s="475">
        <v>275000</v>
      </c>
      <c r="I54" s="475">
        <v>0</v>
      </c>
      <c r="J54" s="475">
        <v>275000</v>
      </c>
      <c r="K54" s="475">
        <v>0</v>
      </c>
      <c r="L54" s="475">
        <v>275000</v>
      </c>
      <c r="M54" s="475">
        <v>128791.75</v>
      </c>
      <c r="N54" s="475">
        <v>128791.75</v>
      </c>
      <c r="O54" s="475"/>
      <c r="P54" s="448">
        <f t="shared" si="1"/>
        <v>275000</v>
      </c>
    </row>
    <row r="55" spans="1:17" ht="17.100000000000001" customHeight="1" x14ac:dyDescent="0.2">
      <c r="A55" s="446" t="str">
        <f t="shared" si="2"/>
        <v>174248-3-142</v>
      </c>
      <c r="B55" s="465">
        <v>174248</v>
      </c>
      <c r="C55" s="466">
        <v>3</v>
      </c>
      <c r="D55" s="467" t="s">
        <v>8</v>
      </c>
      <c r="E55" s="466">
        <v>142</v>
      </c>
      <c r="F55" s="474">
        <v>2365000</v>
      </c>
      <c r="G55" s="474">
        <v>0</v>
      </c>
      <c r="H55" s="474">
        <v>2365000</v>
      </c>
      <c r="I55" s="474">
        <v>0</v>
      </c>
      <c r="J55" s="474">
        <v>2365000</v>
      </c>
      <c r="K55" s="474">
        <v>0</v>
      </c>
      <c r="L55" s="474">
        <v>2365000</v>
      </c>
      <c r="M55" s="474">
        <v>2365000</v>
      </c>
      <c r="N55" s="474">
        <v>2365000</v>
      </c>
      <c r="O55" s="474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69">
        <v>174249</v>
      </c>
      <c r="C56" s="470">
        <v>3</v>
      </c>
      <c r="D56" s="471" t="s">
        <v>8</v>
      </c>
      <c r="E56" s="470">
        <v>142</v>
      </c>
      <c r="F56" s="475">
        <v>900000</v>
      </c>
      <c r="G56" s="475">
        <v>0</v>
      </c>
      <c r="H56" s="475">
        <v>900000</v>
      </c>
      <c r="I56" s="475">
        <v>-400000</v>
      </c>
      <c r="J56" s="475">
        <v>500000</v>
      </c>
      <c r="K56" s="475">
        <v>0</v>
      </c>
      <c r="L56" s="475">
        <v>500000</v>
      </c>
      <c r="M56" s="475">
        <v>249236.49</v>
      </c>
      <c r="N56" s="475">
        <v>249236.49</v>
      </c>
      <c r="O56" s="475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65">
        <v>174249</v>
      </c>
      <c r="C57" s="466">
        <v>4</v>
      </c>
      <c r="D57" s="467" t="s">
        <v>7</v>
      </c>
      <c r="E57" s="466">
        <v>142</v>
      </c>
      <c r="F57" s="474">
        <v>300000</v>
      </c>
      <c r="G57" s="474">
        <v>0</v>
      </c>
      <c r="H57" s="474">
        <v>300000</v>
      </c>
      <c r="I57" s="474">
        <v>0</v>
      </c>
      <c r="J57" s="474">
        <v>300000</v>
      </c>
      <c r="K57" s="474">
        <v>0</v>
      </c>
      <c r="L57" s="474">
        <v>300000</v>
      </c>
      <c r="M57" s="474">
        <v>280</v>
      </c>
      <c r="N57" s="474">
        <v>280</v>
      </c>
      <c r="O57" s="474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69">
        <v>174250</v>
      </c>
      <c r="C58" s="470">
        <v>3</v>
      </c>
      <c r="D58" s="471" t="s">
        <v>8</v>
      </c>
      <c r="E58" s="470">
        <v>142</v>
      </c>
      <c r="F58" s="475">
        <v>1579000</v>
      </c>
      <c r="G58" s="475">
        <v>0</v>
      </c>
      <c r="H58" s="475">
        <v>1579000</v>
      </c>
      <c r="I58" s="475">
        <v>0</v>
      </c>
      <c r="J58" s="475">
        <v>1579000</v>
      </c>
      <c r="K58" s="475">
        <v>0</v>
      </c>
      <c r="L58" s="475">
        <v>1579000</v>
      </c>
      <c r="M58" s="475">
        <v>811689.73</v>
      </c>
      <c r="N58" s="475">
        <v>811689.73</v>
      </c>
      <c r="O58" s="475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65">
        <v>174250</v>
      </c>
      <c r="C59" s="466">
        <v>4</v>
      </c>
      <c r="D59" s="467" t="s">
        <v>7</v>
      </c>
      <c r="E59" s="466">
        <v>142</v>
      </c>
      <c r="F59" s="474">
        <v>800000</v>
      </c>
      <c r="G59" s="474">
        <v>0</v>
      </c>
      <c r="H59" s="474">
        <v>800000</v>
      </c>
      <c r="I59" s="474">
        <v>-353445</v>
      </c>
      <c r="J59" s="474">
        <v>446555</v>
      </c>
      <c r="K59" s="474">
        <v>0</v>
      </c>
      <c r="L59" s="474">
        <v>446555</v>
      </c>
      <c r="M59" s="474">
        <v>233839</v>
      </c>
      <c r="N59" s="474">
        <v>233839</v>
      </c>
      <c r="O59" s="474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69">
        <v>174251</v>
      </c>
      <c r="C60" s="470">
        <v>3</v>
      </c>
      <c r="D60" s="471" t="s">
        <v>8</v>
      </c>
      <c r="E60" s="470">
        <v>142</v>
      </c>
      <c r="F60" s="475">
        <v>200000</v>
      </c>
      <c r="G60" s="475">
        <v>0</v>
      </c>
      <c r="H60" s="475">
        <v>200000</v>
      </c>
      <c r="I60" s="475">
        <v>-200000</v>
      </c>
      <c r="J60" s="475">
        <v>0</v>
      </c>
      <c r="K60" s="475">
        <v>0</v>
      </c>
      <c r="L60" s="475">
        <v>0</v>
      </c>
      <c r="M60" s="475">
        <v>0</v>
      </c>
      <c r="N60" s="475">
        <v>0</v>
      </c>
      <c r="O60" s="475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65">
        <v>174252</v>
      </c>
      <c r="C61" s="466">
        <v>3</v>
      </c>
      <c r="D61" s="467" t="s">
        <v>8</v>
      </c>
      <c r="E61" s="466">
        <v>142</v>
      </c>
      <c r="F61" s="474">
        <v>3400000</v>
      </c>
      <c r="G61" s="474">
        <v>0</v>
      </c>
      <c r="H61" s="474">
        <v>3400000</v>
      </c>
      <c r="I61" s="474">
        <v>-1250000</v>
      </c>
      <c r="J61" s="474">
        <v>2150000</v>
      </c>
      <c r="K61" s="474">
        <v>0</v>
      </c>
      <c r="L61" s="474">
        <v>2150000</v>
      </c>
      <c r="M61" s="474">
        <v>813597.61</v>
      </c>
      <c r="N61" s="474">
        <v>813597.61</v>
      </c>
      <c r="O61" s="474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69">
        <v>174253</v>
      </c>
      <c r="C62" s="470">
        <v>3</v>
      </c>
      <c r="D62" s="471" t="s">
        <v>8</v>
      </c>
      <c r="E62" s="470">
        <v>142</v>
      </c>
      <c r="F62" s="475">
        <v>350000</v>
      </c>
      <c r="G62" s="475">
        <v>0</v>
      </c>
      <c r="H62" s="475">
        <v>350000</v>
      </c>
      <c r="I62" s="475">
        <v>-29037</v>
      </c>
      <c r="J62" s="475">
        <v>320963</v>
      </c>
      <c r="K62" s="475">
        <v>0</v>
      </c>
      <c r="L62" s="475">
        <v>320963</v>
      </c>
      <c r="M62" s="475">
        <v>187508.3</v>
      </c>
      <c r="N62" s="475">
        <v>187508.3</v>
      </c>
      <c r="O62" s="475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465">
        <v>174254</v>
      </c>
      <c r="C63" s="466">
        <v>3</v>
      </c>
      <c r="D63" s="467" t="s">
        <v>8</v>
      </c>
      <c r="E63" s="466">
        <v>142</v>
      </c>
      <c r="F63" s="474">
        <v>980000</v>
      </c>
      <c r="G63" s="474">
        <v>0</v>
      </c>
      <c r="H63" s="474">
        <v>980000</v>
      </c>
      <c r="I63" s="474">
        <v>-153000</v>
      </c>
      <c r="J63" s="474">
        <v>827000</v>
      </c>
      <c r="K63" s="474">
        <v>0</v>
      </c>
      <c r="L63" s="474">
        <v>827000</v>
      </c>
      <c r="M63" s="474">
        <v>287931.68</v>
      </c>
      <c r="N63" s="474">
        <v>287931.68</v>
      </c>
      <c r="O63" s="474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69">
        <v>174255</v>
      </c>
      <c r="C64" s="470">
        <v>3</v>
      </c>
      <c r="D64" s="471" t="s">
        <v>8</v>
      </c>
      <c r="E64" s="470">
        <v>142</v>
      </c>
      <c r="F64" s="475">
        <v>421000</v>
      </c>
      <c r="G64" s="475">
        <v>0</v>
      </c>
      <c r="H64" s="475">
        <v>421000</v>
      </c>
      <c r="I64" s="475">
        <v>0</v>
      </c>
      <c r="J64" s="475">
        <v>421000</v>
      </c>
      <c r="K64" s="475">
        <v>0</v>
      </c>
      <c r="L64" s="475">
        <v>421000</v>
      </c>
      <c r="M64" s="475">
        <v>421000</v>
      </c>
      <c r="N64" s="475">
        <v>421000</v>
      </c>
      <c r="O64" s="475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65">
        <v>174256</v>
      </c>
      <c r="C65" s="466">
        <v>3</v>
      </c>
      <c r="D65" s="467" t="s">
        <v>8</v>
      </c>
      <c r="E65" s="466">
        <v>142</v>
      </c>
      <c r="F65" s="474">
        <v>300000</v>
      </c>
      <c r="G65" s="474">
        <v>0</v>
      </c>
      <c r="H65" s="474">
        <v>300000</v>
      </c>
      <c r="I65" s="474">
        <v>0</v>
      </c>
      <c r="J65" s="474">
        <v>300000</v>
      </c>
      <c r="K65" s="474">
        <v>0</v>
      </c>
      <c r="L65" s="474">
        <v>300000</v>
      </c>
      <c r="M65" s="474">
        <v>1953.01000000001</v>
      </c>
      <c r="N65" s="474">
        <v>1953.01</v>
      </c>
      <c r="O65" s="474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69">
        <v>174257</v>
      </c>
      <c r="C66" s="470">
        <v>3</v>
      </c>
      <c r="D66" s="471" t="s">
        <v>8</v>
      </c>
      <c r="E66" s="470">
        <v>142</v>
      </c>
      <c r="F66" s="475">
        <v>3913610</v>
      </c>
      <c r="G66" s="475">
        <v>0</v>
      </c>
      <c r="H66" s="475">
        <v>3913610</v>
      </c>
      <c r="I66" s="475">
        <v>0</v>
      </c>
      <c r="J66" s="475">
        <v>3913610</v>
      </c>
      <c r="K66" s="475">
        <v>0</v>
      </c>
      <c r="L66" s="475">
        <v>3913610</v>
      </c>
      <c r="M66" s="475">
        <v>1181000.31</v>
      </c>
      <c r="N66" s="475">
        <v>1181000.31</v>
      </c>
      <c r="O66" s="475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65">
        <v>174257</v>
      </c>
      <c r="C67" s="466">
        <v>4</v>
      </c>
      <c r="D67" s="467" t="s">
        <v>7</v>
      </c>
      <c r="E67" s="466">
        <v>142</v>
      </c>
      <c r="F67" s="474">
        <v>197500</v>
      </c>
      <c r="G67" s="474">
        <v>0</v>
      </c>
      <c r="H67" s="474">
        <v>197500</v>
      </c>
      <c r="I67" s="474">
        <v>0</v>
      </c>
      <c r="J67" s="474">
        <v>197500</v>
      </c>
      <c r="K67" s="474">
        <v>0</v>
      </c>
      <c r="L67" s="474">
        <v>197500</v>
      </c>
      <c r="M67" s="474">
        <v>127500</v>
      </c>
      <c r="N67" s="474">
        <v>127500</v>
      </c>
      <c r="O67" s="474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69">
        <v>174258</v>
      </c>
      <c r="C68" s="470">
        <v>3</v>
      </c>
      <c r="D68" s="471" t="s">
        <v>8</v>
      </c>
      <c r="E68" s="470">
        <v>142</v>
      </c>
      <c r="F68" s="475">
        <v>1800000</v>
      </c>
      <c r="G68" s="475">
        <v>0</v>
      </c>
      <c r="H68" s="475">
        <v>1800000</v>
      </c>
      <c r="I68" s="475">
        <v>-305000</v>
      </c>
      <c r="J68" s="475">
        <v>1495000</v>
      </c>
      <c r="K68" s="475">
        <v>0</v>
      </c>
      <c r="L68" s="475">
        <v>1495000</v>
      </c>
      <c r="M68" s="475">
        <v>735949.04</v>
      </c>
      <c r="N68" s="475">
        <v>735949.04</v>
      </c>
      <c r="O68" s="475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65">
        <v>174258</v>
      </c>
      <c r="C69" s="466">
        <v>4</v>
      </c>
      <c r="D69" s="467" t="s">
        <v>7</v>
      </c>
      <c r="E69" s="466">
        <v>142</v>
      </c>
      <c r="F69" s="474">
        <v>1400000</v>
      </c>
      <c r="G69" s="474">
        <v>0</v>
      </c>
      <c r="H69" s="474">
        <v>1400000</v>
      </c>
      <c r="I69" s="474">
        <v>-639075</v>
      </c>
      <c r="J69" s="474">
        <v>760925</v>
      </c>
      <c r="K69" s="474">
        <v>0</v>
      </c>
      <c r="L69" s="474">
        <v>760925</v>
      </c>
      <c r="M69" s="474">
        <v>696121</v>
      </c>
      <c r="N69" s="474">
        <v>696121</v>
      </c>
      <c r="O69" s="474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69">
        <v>174259</v>
      </c>
      <c r="C70" s="470">
        <v>3</v>
      </c>
      <c r="D70" s="471" t="s">
        <v>8</v>
      </c>
      <c r="E70" s="470">
        <v>142</v>
      </c>
      <c r="F70" s="475">
        <v>150000</v>
      </c>
      <c r="G70" s="475">
        <v>0</v>
      </c>
      <c r="H70" s="475">
        <v>150000</v>
      </c>
      <c r="I70" s="475">
        <v>0</v>
      </c>
      <c r="J70" s="475">
        <v>150000</v>
      </c>
      <c r="K70" s="475">
        <v>0</v>
      </c>
      <c r="L70" s="475">
        <v>150000</v>
      </c>
      <c r="M70" s="475">
        <v>33648.410000000003</v>
      </c>
      <c r="N70" s="475">
        <v>33648.410000000003</v>
      </c>
      <c r="O70" s="475"/>
      <c r="P70" s="448">
        <f t="shared" si="1"/>
        <v>150000</v>
      </c>
    </row>
    <row r="71" spans="1:16" ht="17.100000000000001" customHeight="1" x14ac:dyDescent="0.2">
      <c r="A71" s="446" t="str">
        <f t="shared" si="3"/>
        <v>174260-3-142</v>
      </c>
      <c r="B71" s="465">
        <v>174260</v>
      </c>
      <c r="C71" s="466">
        <v>3</v>
      </c>
      <c r="D71" s="467" t="s">
        <v>8</v>
      </c>
      <c r="E71" s="466">
        <v>142</v>
      </c>
      <c r="F71" s="474">
        <v>1685000</v>
      </c>
      <c r="G71" s="474">
        <v>0</v>
      </c>
      <c r="H71" s="474">
        <v>1685000</v>
      </c>
      <c r="I71" s="474">
        <v>-107000</v>
      </c>
      <c r="J71" s="474">
        <v>1578000</v>
      </c>
      <c r="K71" s="474">
        <v>0</v>
      </c>
      <c r="L71" s="474">
        <v>1578000</v>
      </c>
      <c r="M71" s="474">
        <v>737700.42</v>
      </c>
      <c r="N71" s="474">
        <v>737700.42</v>
      </c>
      <c r="O71" s="474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69">
        <v>174261</v>
      </c>
      <c r="C72" s="470">
        <v>3</v>
      </c>
      <c r="D72" s="471" t="s">
        <v>8</v>
      </c>
      <c r="E72" s="470">
        <v>142</v>
      </c>
      <c r="F72" s="475">
        <v>16000000</v>
      </c>
      <c r="G72" s="475">
        <v>0</v>
      </c>
      <c r="H72" s="475">
        <v>16000000</v>
      </c>
      <c r="I72" s="475">
        <v>-1100000</v>
      </c>
      <c r="J72" s="475">
        <v>14900000</v>
      </c>
      <c r="K72" s="475">
        <v>0</v>
      </c>
      <c r="L72" s="475">
        <v>14900000</v>
      </c>
      <c r="M72" s="475">
        <v>9168056.3100000005</v>
      </c>
      <c r="N72" s="475">
        <v>9168056.3100000005</v>
      </c>
      <c r="O72" s="475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65">
        <v>174262</v>
      </c>
      <c r="C73" s="466">
        <v>3</v>
      </c>
      <c r="D73" s="467" t="s">
        <v>8</v>
      </c>
      <c r="E73" s="466">
        <v>142</v>
      </c>
      <c r="F73" s="474">
        <v>2126000</v>
      </c>
      <c r="G73" s="474">
        <v>0</v>
      </c>
      <c r="H73" s="474">
        <v>2126000</v>
      </c>
      <c r="I73" s="474">
        <v>0</v>
      </c>
      <c r="J73" s="474">
        <v>2126000</v>
      </c>
      <c r="K73" s="474">
        <v>0</v>
      </c>
      <c r="L73" s="474">
        <v>2126000</v>
      </c>
      <c r="M73" s="474">
        <v>1276154.49</v>
      </c>
      <c r="N73" s="474">
        <v>1276154.49</v>
      </c>
      <c r="O73" s="474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69">
        <v>174262</v>
      </c>
      <c r="C74" s="470">
        <v>4</v>
      </c>
      <c r="D74" s="471" t="s">
        <v>7</v>
      </c>
      <c r="E74" s="470">
        <v>142</v>
      </c>
      <c r="F74" s="475">
        <v>495000</v>
      </c>
      <c r="G74" s="475">
        <v>0</v>
      </c>
      <c r="H74" s="475">
        <v>495000</v>
      </c>
      <c r="I74" s="475">
        <v>0</v>
      </c>
      <c r="J74" s="475">
        <v>495000</v>
      </c>
      <c r="K74" s="475">
        <v>0</v>
      </c>
      <c r="L74" s="475">
        <v>495000</v>
      </c>
      <c r="M74" s="475">
        <v>20000</v>
      </c>
      <c r="N74" s="475">
        <v>20000</v>
      </c>
      <c r="O74" s="475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65">
        <v>174263</v>
      </c>
      <c r="C75" s="466">
        <v>3</v>
      </c>
      <c r="D75" s="467" t="s">
        <v>8</v>
      </c>
      <c r="E75" s="466">
        <v>142</v>
      </c>
      <c r="F75" s="474">
        <v>700000</v>
      </c>
      <c r="G75" s="474">
        <v>0</v>
      </c>
      <c r="H75" s="474">
        <v>700000</v>
      </c>
      <c r="I75" s="474">
        <v>-45000</v>
      </c>
      <c r="J75" s="474">
        <v>655000</v>
      </c>
      <c r="K75" s="474">
        <v>0</v>
      </c>
      <c r="L75" s="474">
        <v>655000</v>
      </c>
      <c r="M75" s="474">
        <v>475427.9</v>
      </c>
      <c r="N75" s="474">
        <v>475427.9</v>
      </c>
      <c r="O75" s="474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69">
        <v>174263</v>
      </c>
      <c r="C76" s="470">
        <v>4</v>
      </c>
      <c r="D76" s="471" t="s">
        <v>7</v>
      </c>
      <c r="E76" s="470">
        <v>142</v>
      </c>
      <c r="F76" s="475">
        <v>100000</v>
      </c>
      <c r="G76" s="475">
        <v>0</v>
      </c>
      <c r="H76" s="475">
        <v>100000</v>
      </c>
      <c r="I76" s="475">
        <v>400000</v>
      </c>
      <c r="J76" s="475">
        <v>500000</v>
      </c>
      <c r="K76" s="475">
        <v>0</v>
      </c>
      <c r="L76" s="475">
        <v>500000</v>
      </c>
      <c r="M76" s="475">
        <v>473594</v>
      </c>
      <c r="N76" s="475">
        <v>473594</v>
      </c>
      <c r="O76" s="475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65">
        <v>174264</v>
      </c>
      <c r="C77" s="466">
        <v>3</v>
      </c>
      <c r="D77" s="467" t="s">
        <v>8</v>
      </c>
      <c r="E77" s="466">
        <v>142</v>
      </c>
      <c r="F77" s="474">
        <v>3500000</v>
      </c>
      <c r="G77" s="474">
        <v>0</v>
      </c>
      <c r="H77" s="474">
        <v>3500000</v>
      </c>
      <c r="I77" s="474">
        <v>-200000</v>
      </c>
      <c r="J77" s="474">
        <v>3300000</v>
      </c>
      <c r="K77" s="474">
        <v>0</v>
      </c>
      <c r="L77" s="474">
        <v>3300000</v>
      </c>
      <c r="M77" s="474">
        <v>1880096.92</v>
      </c>
      <c r="N77" s="474">
        <v>1880096.92</v>
      </c>
      <c r="O77" s="474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69">
        <v>174264</v>
      </c>
      <c r="C78" s="470">
        <v>4</v>
      </c>
      <c r="D78" s="471" t="s">
        <v>7</v>
      </c>
      <c r="E78" s="470">
        <v>142</v>
      </c>
      <c r="F78" s="475">
        <v>1400000</v>
      </c>
      <c r="G78" s="475">
        <v>0</v>
      </c>
      <c r="H78" s="475">
        <v>1400000</v>
      </c>
      <c r="I78" s="475">
        <v>-483611</v>
      </c>
      <c r="J78" s="475">
        <v>916389</v>
      </c>
      <c r="K78" s="475">
        <v>0</v>
      </c>
      <c r="L78" s="475">
        <v>916389</v>
      </c>
      <c r="M78" s="475">
        <v>668606.75</v>
      </c>
      <c r="N78" s="475">
        <v>668606.75</v>
      </c>
      <c r="O78" s="475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65">
        <v>174265</v>
      </c>
      <c r="C79" s="466">
        <v>3</v>
      </c>
      <c r="D79" s="467" t="s">
        <v>8</v>
      </c>
      <c r="E79" s="466">
        <v>142</v>
      </c>
      <c r="F79" s="474">
        <v>695000</v>
      </c>
      <c r="G79" s="474">
        <v>0</v>
      </c>
      <c r="H79" s="474">
        <v>695000</v>
      </c>
      <c r="I79" s="474">
        <v>-292000</v>
      </c>
      <c r="J79" s="474">
        <v>403000</v>
      </c>
      <c r="K79" s="474">
        <v>0</v>
      </c>
      <c r="L79" s="474">
        <v>403000</v>
      </c>
      <c r="M79" s="474">
        <v>100982.63</v>
      </c>
      <c r="N79" s="474">
        <v>100982.63</v>
      </c>
      <c r="O79" s="474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69">
        <v>174266</v>
      </c>
      <c r="C80" s="470">
        <v>3</v>
      </c>
      <c r="D80" s="471" t="s">
        <v>8</v>
      </c>
      <c r="E80" s="470">
        <v>142</v>
      </c>
      <c r="F80" s="475">
        <v>400000</v>
      </c>
      <c r="G80" s="475">
        <v>0</v>
      </c>
      <c r="H80" s="475">
        <v>400000</v>
      </c>
      <c r="I80" s="475">
        <v>-400000</v>
      </c>
      <c r="J80" s="475">
        <v>0</v>
      </c>
      <c r="K80" s="475">
        <v>0</v>
      </c>
      <c r="L80" s="475">
        <v>0</v>
      </c>
      <c r="M80" s="475">
        <v>0</v>
      </c>
      <c r="N80" s="475">
        <v>0</v>
      </c>
      <c r="O80" s="475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65">
        <v>174267</v>
      </c>
      <c r="C81" s="466">
        <v>3</v>
      </c>
      <c r="D81" s="467" t="s">
        <v>8</v>
      </c>
      <c r="E81" s="466">
        <v>142</v>
      </c>
      <c r="F81" s="474">
        <v>2007890</v>
      </c>
      <c r="G81" s="474">
        <v>0</v>
      </c>
      <c r="H81" s="474">
        <v>2007890</v>
      </c>
      <c r="I81" s="474">
        <v>-465725</v>
      </c>
      <c r="J81" s="474">
        <v>1542165</v>
      </c>
      <c r="K81" s="474">
        <v>0</v>
      </c>
      <c r="L81" s="474">
        <v>1542165</v>
      </c>
      <c r="M81" s="474">
        <v>538706.93000000005</v>
      </c>
      <c r="N81" s="474">
        <v>538706.93000000005</v>
      </c>
      <c r="O81" s="474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69">
        <v>174267</v>
      </c>
      <c r="C82" s="470">
        <v>4</v>
      </c>
      <c r="D82" s="471" t="s">
        <v>7</v>
      </c>
      <c r="E82" s="470">
        <v>142</v>
      </c>
      <c r="F82" s="475">
        <v>110000</v>
      </c>
      <c r="G82" s="475">
        <v>0</v>
      </c>
      <c r="H82" s="475">
        <v>110000</v>
      </c>
      <c r="I82" s="475">
        <v>0</v>
      </c>
      <c r="J82" s="475">
        <v>110000</v>
      </c>
      <c r="K82" s="475">
        <v>0</v>
      </c>
      <c r="L82" s="475">
        <v>110000</v>
      </c>
      <c r="M82" s="475">
        <v>0</v>
      </c>
      <c r="N82" s="475">
        <v>0</v>
      </c>
      <c r="O82" s="475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65">
        <v>174268</v>
      </c>
      <c r="C83" s="466">
        <v>3</v>
      </c>
      <c r="D83" s="467" t="s">
        <v>8</v>
      </c>
      <c r="E83" s="466">
        <v>142</v>
      </c>
      <c r="F83" s="474">
        <v>800000</v>
      </c>
      <c r="G83" s="474">
        <v>0</v>
      </c>
      <c r="H83" s="474">
        <v>800000</v>
      </c>
      <c r="I83" s="474">
        <v>-100000</v>
      </c>
      <c r="J83" s="474">
        <v>700000</v>
      </c>
      <c r="K83" s="474">
        <v>0</v>
      </c>
      <c r="L83" s="474">
        <v>700000</v>
      </c>
      <c r="M83" s="474">
        <v>349046.2</v>
      </c>
      <c r="N83" s="474">
        <v>349046.2</v>
      </c>
      <c r="O83" s="474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69">
        <v>174268</v>
      </c>
      <c r="C84" s="470">
        <v>4</v>
      </c>
      <c r="D84" s="471" t="s">
        <v>7</v>
      </c>
      <c r="E84" s="470">
        <v>142</v>
      </c>
      <c r="F84" s="475">
        <v>100000</v>
      </c>
      <c r="G84" s="475">
        <v>0</v>
      </c>
      <c r="H84" s="475">
        <v>100000</v>
      </c>
      <c r="I84" s="475">
        <v>0</v>
      </c>
      <c r="J84" s="475">
        <v>100000</v>
      </c>
      <c r="K84" s="475">
        <v>0</v>
      </c>
      <c r="L84" s="475">
        <v>100000</v>
      </c>
      <c r="M84" s="475">
        <v>88000</v>
      </c>
      <c r="N84" s="475">
        <v>88000</v>
      </c>
      <c r="O84" s="475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65">
        <v>174269</v>
      </c>
      <c r="C85" s="466">
        <v>3</v>
      </c>
      <c r="D85" s="467" t="s">
        <v>8</v>
      </c>
      <c r="E85" s="466">
        <v>142</v>
      </c>
      <c r="F85" s="474">
        <v>5000000</v>
      </c>
      <c r="G85" s="474">
        <v>0</v>
      </c>
      <c r="H85" s="474">
        <v>5000000</v>
      </c>
      <c r="I85" s="474">
        <v>-589074</v>
      </c>
      <c r="J85" s="474">
        <v>4410926</v>
      </c>
      <c r="K85" s="474">
        <v>0</v>
      </c>
      <c r="L85" s="474">
        <v>4410926</v>
      </c>
      <c r="M85" s="474">
        <v>1668775.96</v>
      </c>
      <c r="N85" s="474">
        <v>1668775.96</v>
      </c>
      <c r="O85" s="474">
        <v>0</v>
      </c>
      <c r="P85" s="449">
        <f>+L85-O85</f>
        <v>4410926</v>
      </c>
    </row>
    <row r="86" spans="1:16" ht="17.100000000000001" customHeight="1" x14ac:dyDescent="0.2">
      <c r="A86" s="446" t="str">
        <f t="shared" si="3"/>
        <v>174270-3-142</v>
      </c>
      <c r="B86" s="469">
        <v>174270</v>
      </c>
      <c r="C86" s="470">
        <v>3</v>
      </c>
      <c r="D86" s="471" t="s">
        <v>8</v>
      </c>
      <c r="E86" s="470">
        <v>142</v>
      </c>
      <c r="F86" s="475">
        <v>2950000</v>
      </c>
      <c r="G86" s="475">
        <v>0</v>
      </c>
      <c r="H86" s="475">
        <v>2950000</v>
      </c>
      <c r="I86" s="475">
        <v>-309000</v>
      </c>
      <c r="J86" s="475">
        <v>2641000</v>
      </c>
      <c r="K86" s="475">
        <v>0</v>
      </c>
      <c r="L86" s="475">
        <v>2641000</v>
      </c>
      <c r="M86" s="475">
        <v>1266272.74</v>
      </c>
      <c r="N86" s="475">
        <v>1266272.74</v>
      </c>
      <c r="O86" s="475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65">
        <v>174271</v>
      </c>
      <c r="C87" s="466">
        <v>3</v>
      </c>
      <c r="D87" s="467" t="s">
        <v>8</v>
      </c>
      <c r="E87" s="466">
        <v>142</v>
      </c>
      <c r="F87" s="474">
        <v>700000</v>
      </c>
      <c r="G87" s="474">
        <v>0</v>
      </c>
      <c r="H87" s="474">
        <v>700000</v>
      </c>
      <c r="I87" s="474">
        <v>-100000</v>
      </c>
      <c r="J87" s="474">
        <v>600000</v>
      </c>
      <c r="K87" s="474">
        <v>0</v>
      </c>
      <c r="L87" s="474">
        <v>600000</v>
      </c>
      <c r="M87" s="474">
        <v>281444.46999999997</v>
      </c>
      <c r="N87" s="474">
        <v>281444.46999999997</v>
      </c>
      <c r="O87" s="474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69">
        <v>174271</v>
      </c>
      <c r="C88" s="470">
        <v>4</v>
      </c>
      <c r="D88" s="471" t="s">
        <v>7</v>
      </c>
      <c r="E88" s="470">
        <v>142</v>
      </c>
      <c r="F88" s="475">
        <v>100000</v>
      </c>
      <c r="G88" s="475">
        <v>0</v>
      </c>
      <c r="H88" s="475">
        <v>100000</v>
      </c>
      <c r="I88" s="475">
        <v>0</v>
      </c>
      <c r="J88" s="475">
        <v>100000</v>
      </c>
      <c r="K88" s="475">
        <v>0</v>
      </c>
      <c r="L88" s="475">
        <v>100000</v>
      </c>
      <c r="M88" s="475">
        <v>100000</v>
      </c>
      <c r="N88" s="475">
        <v>100000</v>
      </c>
      <c r="O88" s="475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65">
        <v>174272</v>
      </c>
      <c r="C89" s="466">
        <v>3</v>
      </c>
      <c r="D89" s="467" t="s">
        <v>8</v>
      </c>
      <c r="E89" s="466">
        <v>142</v>
      </c>
      <c r="F89" s="474">
        <v>1000000</v>
      </c>
      <c r="G89" s="474">
        <v>0</v>
      </c>
      <c r="H89" s="474">
        <v>1000000</v>
      </c>
      <c r="I89" s="474">
        <v>-589075</v>
      </c>
      <c r="J89" s="474">
        <v>410925</v>
      </c>
      <c r="K89" s="474">
        <v>0</v>
      </c>
      <c r="L89" s="474">
        <v>410925</v>
      </c>
      <c r="M89" s="474">
        <v>66585.48</v>
      </c>
      <c r="N89" s="474">
        <v>66585.48</v>
      </c>
      <c r="O89" s="474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69">
        <v>174273</v>
      </c>
      <c r="C90" s="470">
        <v>3</v>
      </c>
      <c r="D90" s="471" t="s">
        <v>8</v>
      </c>
      <c r="E90" s="470">
        <v>142</v>
      </c>
      <c r="F90" s="475">
        <v>1000000</v>
      </c>
      <c r="G90" s="475">
        <v>0</v>
      </c>
      <c r="H90" s="475">
        <v>1000000</v>
      </c>
      <c r="I90" s="475">
        <v>0</v>
      </c>
      <c r="J90" s="475">
        <v>1000000</v>
      </c>
      <c r="K90" s="475">
        <v>0</v>
      </c>
      <c r="L90" s="475">
        <v>1000000</v>
      </c>
      <c r="M90" s="475">
        <v>0</v>
      </c>
      <c r="N90" s="475">
        <v>0</v>
      </c>
      <c r="O90" s="475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65">
        <v>195063</v>
      </c>
      <c r="C91" s="466">
        <v>3</v>
      </c>
      <c r="D91" s="467" t="s">
        <v>8</v>
      </c>
      <c r="E91" s="466">
        <v>100</v>
      </c>
      <c r="F91" s="474">
        <v>1949502</v>
      </c>
      <c r="G91" s="474">
        <v>0</v>
      </c>
      <c r="H91" s="474">
        <v>1949502</v>
      </c>
      <c r="I91" s="474">
        <v>0</v>
      </c>
      <c r="J91" s="474">
        <v>1949502</v>
      </c>
      <c r="K91" s="474">
        <v>0</v>
      </c>
      <c r="L91" s="474">
        <v>1949502</v>
      </c>
      <c r="M91" s="474">
        <v>1264558.1499999999</v>
      </c>
      <c r="N91" s="474">
        <v>1279767.55</v>
      </c>
      <c r="O91" s="474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69">
        <v>195065</v>
      </c>
      <c r="C92" s="470">
        <v>3</v>
      </c>
      <c r="D92" s="471" t="s">
        <v>8</v>
      </c>
      <c r="E92" s="470">
        <v>100</v>
      </c>
      <c r="F92" s="475">
        <v>233177</v>
      </c>
      <c r="G92" s="475">
        <v>0</v>
      </c>
      <c r="H92" s="475">
        <v>233177</v>
      </c>
      <c r="I92" s="475">
        <v>0</v>
      </c>
      <c r="J92" s="475">
        <v>233177</v>
      </c>
      <c r="K92" s="475">
        <v>0</v>
      </c>
      <c r="L92" s="475">
        <v>233177</v>
      </c>
      <c r="M92" s="475">
        <v>156108.9</v>
      </c>
      <c r="N92" s="475">
        <v>156108.9</v>
      </c>
      <c r="O92" s="475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65">
        <v>195067</v>
      </c>
      <c r="C93" s="466">
        <v>3</v>
      </c>
      <c r="D93" s="467" t="s">
        <v>8</v>
      </c>
      <c r="E93" s="466">
        <v>100</v>
      </c>
      <c r="F93" s="474">
        <v>17628738</v>
      </c>
      <c r="G93" s="474">
        <v>0</v>
      </c>
      <c r="H93" s="474">
        <v>17628738</v>
      </c>
      <c r="I93" s="474">
        <v>0</v>
      </c>
      <c r="J93" s="474">
        <v>17628738</v>
      </c>
      <c r="K93" s="474">
        <v>0</v>
      </c>
      <c r="L93" s="474">
        <v>17628738</v>
      </c>
      <c r="M93" s="474">
        <v>10240369.27</v>
      </c>
      <c r="N93" s="474">
        <v>10240369.27</v>
      </c>
      <c r="O93" s="474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69">
        <v>204816</v>
      </c>
      <c r="C94" s="470">
        <v>3</v>
      </c>
      <c r="D94" s="471" t="s">
        <v>8</v>
      </c>
      <c r="E94" s="470">
        <v>181</v>
      </c>
      <c r="F94" s="475">
        <v>800000</v>
      </c>
      <c r="G94" s="475">
        <v>0</v>
      </c>
      <c r="H94" s="475">
        <v>800000</v>
      </c>
      <c r="I94" s="475">
        <v>0</v>
      </c>
      <c r="J94" s="475">
        <v>800000</v>
      </c>
      <c r="K94" s="475">
        <v>0</v>
      </c>
      <c r="L94" s="475">
        <v>800000</v>
      </c>
      <c r="M94" s="475">
        <v>451886.91</v>
      </c>
      <c r="N94" s="475">
        <v>451886.91</v>
      </c>
      <c r="O94" s="475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65">
        <v>204817</v>
      </c>
      <c r="C95" s="466">
        <v>3</v>
      </c>
      <c r="D95" s="467" t="s">
        <v>8</v>
      </c>
      <c r="E95" s="466">
        <v>181</v>
      </c>
      <c r="F95" s="474">
        <v>700000</v>
      </c>
      <c r="G95" s="474">
        <v>0</v>
      </c>
      <c r="H95" s="474">
        <v>700000</v>
      </c>
      <c r="I95" s="474">
        <v>0</v>
      </c>
      <c r="J95" s="474">
        <v>700000</v>
      </c>
      <c r="K95" s="474">
        <v>0</v>
      </c>
      <c r="L95" s="474">
        <v>700000</v>
      </c>
      <c r="M95" s="474">
        <v>586451.37</v>
      </c>
      <c r="N95" s="474">
        <v>586451.37</v>
      </c>
      <c r="O95" s="474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469">
        <v>204818</v>
      </c>
      <c r="C96" s="470">
        <v>3</v>
      </c>
      <c r="D96" s="471" t="s">
        <v>8</v>
      </c>
      <c r="E96" s="470">
        <v>142</v>
      </c>
      <c r="F96" s="475">
        <v>1</v>
      </c>
      <c r="G96" s="475">
        <v>0</v>
      </c>
      <c r="H96" s="475">
        <v>1</v>
      </c>
      <c r="I96" s="475">
        <v>0</v>
      </c>
      <c r="J96" s="475">
        <v>1</v>
      </c>
      <c r="K96" s="475">
        <v>0</v>
      </c>
      <c r="L96" s="475">
        <v>1</v>
      </c>
      <c r="M96" s="475">
        <v>1</v>
      </c>
      <c r="N96" s="475">
        <v>1</v>
      </c>
      <c r="O96" s="475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65">
        <v>213406</v>
      </c>
      <c r="C97" s="466">
        <v>3</v>
      </c>
      <c r="D97" s="467" t="s">
        <v>8</v>
      </c>
      <c r="E97" s="466">
        <v>188</v>
      </c>
      <c r="F97" s="474"/>
      <c r="G97" s="474">
        <v>0</v>
      </c>
      <c r="H97" s="474">
        <v>0</v>
      </c>
      <c r="I97" s="474">
        <v>200000</v>
      </c>
      <c r="J97" s="474">
        <v>200000</v>
      </c>
      <c r="K97" s="474">
        <v>0</v>
      </c>
      <c r="L97" s="474">
        <v>200000</v>
      </c>
      <c r="M97" s="474">
        <v>200000</v>
      </c>
      <c r="N97" s="474">
        <v>200000</v>
      </c>
      <c r="O97" s="474"/>
      <c r="P97" s="452">
        <f>+L97-O97</f>
        <v>200000</v>
      </c>
    </row>
    <row r="98" spans="1:16" ht="16.5" customHeight="1" x14ac:dyDescent="0.2">
      <c r="A98" s="446"/>
      <c r="B98" s="477" t="s">
        <v>9</v>
      </c>
      <c r="C98" s="486"/>
      <c r="D98" s="486"/>
      <c r="E98" s="477"/>
      <c r="F98" s="473">
        <v>517546895</v>
      </c>
      <c r="G98" s="473">
        <v>-3436635</v>
      </c>
      <c r="H98" s="473">
        <v>514110260</v>
      </c>
      <c r="I98" s="473">
        <v>-2042547</v>
      </c>
      <c r="J98" s="473">
        <v>512067713</v>
      </c>
      <c r="K98" s="473">
        <v>0</v>
      </c>
      <c r="L98" s="473">
        <v>512067713</v>
      </c>
      <c r="M98" s="473">
        <v>214407396.30000001</v>
      </c>
      <c r="N98" s="473">
        <v>225335543.44999999</v>
      </c>
      <c r="O98" s="473">
        <v>285403</v>
      </c>
      <c r="P98" s="453">
        <f>+L98-O98</f>
        <v>511782310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8"/>
  <sheetViews>
    <sheetView showGridLines="0" zoomScale="80" zoomScaleNormal="80" workbookViewId="0">
      <pane xSplit="1" ySplit="4" topLeftCell="B56" activePane="bottomRight" state="frozen"/>
      <selection activeCell="Q5" sqref="Q5:Q7"/>
      <selection pane="topRight" activeCell="Q5" sqref="Q5:Q7"/>
      <selection pane="bottomLeft" activeCell="Q5" sqref="Q5:Q7"/>
      <selection pane="bottomRight" activeCell="K16" sqref="K16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92" t="s">
        <v>0</v>
      </c>
      <c r="C3" s="492" t="s">
        <v>1</v>
      </c>
      <c r="D3" s="492"/>
      <c r="E3" s="490" t="s">
        <v>349</v>
      </c>
      <c r="F3" s="484" t="s">
        <v>67</v>
      </c>
      <c r="G3" s="484" t="s">
        <v>50</v>
      </c>
      <c r="H3" s="484" t="s">
        <v>51</v>
      </c>
      <c r="I3" s="484" t="s">
        <v>52</v>
      </c>
      <c r="J3" s="484" t="s">
        <v>53</v>
      </c>
      <c r="K3" s="484" t="s">
        <v>54</v>
      </c>
      <c r="L3" s="484" t="s">
        <v>5</v>
      </c>
      <c r="M3" s="484" t="s">
        <v>12</v>
      </c>
    </row>
    <row r="4" spans="1:13" ht="32.1" customHeight="1" x14ac:dyDescent="0.2">
      <c r="A4" s="489"/>
      <c r="B4" s="492"/>
      <c r="C4" s="492"/>
      <c r="D4" s="492"/>
      <c r="E4" s="491"/>
      <c r="F4" s="485"/>
      <c r="G4" s="485"/>
      <c r="H4" s="485"/>
      <c r="I4" s="485"/>
      <c r="J4" s="485"/>
      <c r="K4" s="485"/>
      <c r="L4" s="485"/>
      <c r="M4" s="485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1264597</v>
      </c>
      <c r="G5" s="468">
        <v>1264597</v>
      </c>
      <c r="H5" s="468">
        <v>0</v>
      </c>
      <c r="I5" s="468">
        <v>1264597</v>
      </c>
      <c r="J5" s="468">
        <v>0</v>
      </c>
      <c r="K5" s="468">
        <v>1264597</v>
      </c>
      <c r="L5" s="468">
        <v>0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258939.62</v>
      </c>
      <c r="G6" s="472">
        <v>258939.62</v>
      </c>
      <c r="H6" s="472">
        <v>44.26</v>
      </c>
      <c r="I6" s="472">
        <v>258895.35999999999</v>
      </c>
      <c r="J6" s="472">
        <v>0</v>
      </c>
      <c r="K6" s="472">
        <v>258895.35999999999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78650.55</v>
      </c>
      <c r="G7" s="468">
        <v>78650.55</v>
      </c>
      <c r="H7" s="468">
        <v>0</v>
      </c>
      <c r="I7" s="468">
        <v>78650.55</v>
      </c>
      <c r="J7" s="468">
        <v>0</v>
      </c>
      <c r="K7" s="468">
        <v>78650.55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161074.43</v>
      </c>
      <c r="G11" s="468">
        <v>161074.43</v>
      </c>
      <c r="H11" s="468">
        <v>0</v>
      </c>
      <c r="I11" s="468">
        <v>161074.43</v>
      </c>
      <c r="J11" s="468">
        <v>0</v>
      </c>
      <c r="K11" s="468">
        <v>161074.43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185184639.28999999</v>
      </c>
      <c r="G12" s="472">
        <v>182168567.44999999</v>
      </c>
      <c r="H12" s="472">
        <v>4608597.8899999997</v>
      </c>
      <c r="I12" s="472">
        <v>177559969.56</v>
      </c>
      <c r="J12" s="472">
        <v>3098426.83</v>
      </c>
      <c r="K12" s="472">
        <v>174461542.72999999</v>
      </c>
      <c r="L12" s="472">
        <v>3016071.84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11509307.119999999</v>
      </c>
      <c r="G13" s="468">
        <v>11501102.800000001</v>
      </c>
      <c r="H13" s="468">
        <v>7032078.2800000003</v>
      </c>
      <c r="I13" s="468">
        <v>4469024.5199999996</v>
      </c>
      <c r="J13" s="468">
        <v>210281.56</v>
      </c>
      <c r="K13" s="468">
        <v>4258742.96</v>
      </c>
      <c r="L13" s="468">
        <v>8204.32</v>
      </c>
      <c r="M13" s="437"/>
    </row>
    <row r="14" spans="1:13" ht="20.100000000000001" customHeight="1" x14ac:dyDescent="0.2">
      <c r="A14" s="410" t="str">
        <f t="shared" si="0"/>
        <v>174224-3-188</v>
      </c>
      <c r="B14" s="469">
        <v>174224</v>
      </c>
      <c r="C14" s="470">
        <v>3</v>
      </c>
      <c r="D14" s="471" t="s">
        <v>8</v>
      </c>
      <c r="E14" s="470">
        <v>188</v>
      </c>
      <c r="F14" s="472">
        <v>20509307.120000001</v>
      </c>
      <c r="G14" s="472">
        <v>18944750.120000001</v>
      </c>
      <c r="H14" s="472">
        <v>11898901.359999999</v>
      </c>
      <c r="I14" s="472">
        <v>7045848.7599999998</v>
      </c>
      <c r="J14" s="472">
        <v>31630.05</v>
      </c>
      <c r="K14" s="472">
        <v>7014218.71</v>
      </c>
      <c r="L14" s="472">
        <v>1564557</v>
      </c>
      <c r="M14" s="438"/>
    </row>
    <row r="15" spans="1:13" ht="20.100000000000001" customHeight="1" x14ac:dyDescent="0.2">
      <c r="A15" s="410" t="str">
        <f t="shared" si="0"/>
        <v>174225-3-151</v>
      </c>
      <c r="B15" s="465">
        <v>174225</v>
      </c>
      <c r="C15" s="466">
        <v>3</v>
      </c>
      <c r="D15" s="467" t="s">
        <v>8</v>
      </c>
      <c r="E15" s="466">
        <v>151</v>
      </c>
      <c r="F15" s="468">
        <v>295655.58</v>
      </c>
      <c r="G15" s="468">
        <v>287255.58</v>
      </c>
      <c r="H15" s="468">
        <v>26868.25</v>
      </c>
      <c r="I15" s="468">
        <v>260387.33</v>
      </c>
      <c r="J15" s="468">
        <v>10927.18</v>
      </c>
      <c r="K15" s="468">
        <v>249460.15</v>
      </c>
      <c r="L15" s="468">
        <v>8400</v>
      </c>
      <c r="M15" s="437"/>
    </row>
    <row r="16" spans="1:13" ht="20.100000000000001" customHeight="1" x14ac:dyDescent="0.2">
      <c r="A16" s="410" t="str">
        <f t="shared" si="0"/>
        <v>174225-3-188</v>
      </c>
      <c r="B16" s="469">
        <v>174225</v>
      </c>
      <c r="C16" s="470">
        <v>3</v>
      </c>
      <c r="D16" s="471" t="s">
        <v>8</v>
      </c>
      <c r="E16" s="470">
        <v>188</v>
      </c>
      <c r="F16" s="472">
        <v>295655.58</v>
      </c>
      <c r="G16" s="472">
        <v>172904.58</v>
      </c>
      <c r="H16" s="472">
        <v>146036.32999999999</v>
      </c>
      <c r="I16" s="472">
        <v>26868.25</v>
      </c>
      <c r="J16" s="472">
        <v>0</v>
      </c>
      <c r="K16" s="472">
        <v>26868.25</v>
      </c>
      <c r="L16" s="472">
        <v>122751</v>
      </c>
      <c r="M16" s="438"/>
    </row>
    <row r="17" spans="1:13" ht="20.100000000000001" customHeight="1" x14ac:dyDescent="0.2">
      <c r="A17" s="410" t="str">
        <f t="shared" si="0"/>
        <v>174230-3-142</v>
      </c>
      <c r="B17" s="465">
        <v>174230</v>
      </c>
      <c r="C17" s="466">
        <v>3</v>
      </c>
      <c r="D17" s="467" t="s">
        <v>8</v>
      </c>
      <c r="E17" s="466">
        <v>142</v>
      </c>
      <c r="F17" s="468">
        <v>249370.51</v>
      </c>
      <c r="G17" s="468">
        <v>150149.54</v>
      </c>
      <c r="H17" s="468">
        <v>45854.31</v>
      </c>
      <c r="I17" s="468">
        <v>104295.23</v>
      </c>
      <c r="J17" s="468">
        <v>4039.46</v>
      </c>
      <c r="K17" s="468">
        <v>100255.77</v>
      </c>
      <c r="L17" s="468">
        <v>99220.97</v>
      </c>
      <c r="M17" s="437"/>
    </row>
    <row r="18" spans="1:13" ht="20.100000000000001" customHeight="1" x14ac:dyDescent="0.2">
      <c r="A18" s="410" t="str">
        <f t="shared" si="0"/>
        <v>174231-3-142</v>
      </c>
      <c r="B18" s="469">
        <v>174231</v>
      </c>
      <c r="C18" s="470">
        <v>3</v>
      </c>
      <c r="D18" s="471" t="s">
        <v>8</v>
      </c>
      <c r="E18" s="470">
        <v>142</v>
      </c>
      <c r="F18" s="472">
        <v>407516.55</v>
      </c>
      <c r="G18" s="472">
        <v>386011.4</v>
      </c>
      <c r="H18" s="472">
        <v>260026.86</v>
      </c>
      <c r="I18" s="472">
        <v>125984.54</v>
      </c>
      <c r="J18" s="472">
        <v>10437.75</v>
      </c>
      <c r="K18" s="472">
        <v>115546.79</v>
      </c>
      <c r="L18" s="472">
        <v>21505.15</v>
      </c>
      <c r="M18" s="438"/>
    </row>
    <row r="19" spans="1:13" ht="20.100000000000001" customHeight="1" x14ac:dyDescent="0.2">
      <c r="A19" s="410" t="str">
        <f t="shared" si="0"/>
        <v>174231-4-142</v>
      </c>
      <c r="B19" s="465">
        <v>174231</v>
      </c>
      <c r="C19" s="466">
        <v>4</v>
      </c>
      <c r="D19" s="467" t="s">
        <v>7</v>
      </c>
      <c r="E19" s="466">
        <v>142</v>
      </c>
      <c r="F19" s="468">
        <v>281210.06</v>
      </c>
      <c r="G19" s="468">
        <v>280949</v>
      </c>
      <c r="H19" s="468">
        <v>261957</v>
      </c>
      <c r="I19" s="468">
        <v>18992</v>
      </c>
      <c r="J19" s="468">
        <v>18992</v>
      </c>
      <c r="K19" s="468"/>
      <c r="L19" s="468">
        <v>261.06</v>
      </c>
      <c r="M19" s="437"/>
    </row>
    <row r="20" spans="1:13" ht="20.100000000000001" customHeight="1" x14ac:dyDescent="0.2">
      <c r="A20" s="410" t="str">
        <f t="shared" si="0"/>
        <v>174232-3-100</v>
      </c>
      <c r="B20" s="469">
        <v>174232</v>
      </c>
      <c r="C20" s="470">
        <v>3</v>
      </c>
      <c r="D20" s="471" t="s">
        <v>8</v>
      </c>
      <c r="E20" s="470">
        <v>100</v>
      </c>
      <c r="F20" s="472">
        <v>2800000</v>
      </c>
      <c r="G20" s="472">
        <v>2800000</v>
      </c>
      <c r="H20" s="472">
        <v>2800000</v>
      </c>
      <c r="I20" s="472"/>
      <c r="J20" s="472"/>
      <c r="K20" s="472"/>
      <c r="L20" s="472">
        <v>0</v>
      </c>
      <c r="M20" s="438"/>
    </row>
    <row r="21" spans="1:13" ht="20.100000000000001" customHeight="1" x14ac:dyDescent="0.2">
      <c r="A21" s="410" t="str">
        <f t="shared" si="0"/>
        <v>174232-3-142</v>
      </c>
      <c r="B21" s="465">
        <v>174232</v>
      </c>
      <c r="C21" s="466">
        <v>3</v>
      </c>
      <c r="D21" s="467" t="s">
        <v>8</v>
      </c>
      <c r="E21" s="466">
        <v>142</v>
      </c>
      <c r="F21" s="468">
        <v>26685911.260000002</v>
      </c>
      <c r="G21" s="468">
        <v>26006673.859999999</v>
      </c>
      <c r="H21" s="468">
        <v>13837407.18</v>
      </c>
      <c r="I21" s="468">
        <v>12169266.68</v>
      </c>
      <c r="J21" s="468">
        <v>807651.62</v>
      </c>
      <c r="K21" s="468">
        <v>11361615.060000001</v>
      </c>
      <c r="L21" s="468">
        <v>1012159.35</v>
      </c>
      <c r="M21" s="437"/>
    </row>
    <row r="22" spans="1:13" ht="20.100000000000001" customHeight="1" x14ac:dyDescent="0.2">
      <c r="A22" s="410" t="str">
        <f t="shared" si="0"/>
        <v>174232-4-142</v>
      </c>
      <c r="B22" s="469">
        <v>174232</v>
      </c>
      <c r="C22" s="470">
        <v>4</v>
      </c>
      <c r="D22" s="471" t="s">
        <v>7</v>
      </c>
      <c r="E22" s="470">
        <v>142</v>
      </c>
      <c r="F22" s="472">
        <v>170547.89</v>
      </c>
      <c r="G22" s="472">
        <v>147877.89000000001</v>
      </c>
      <c r="H22" s="472">
        <v>84538</v>
      </c>
      <c r="I22" s="472">
        <v>63339.89</v>
      </c>
      <c r="J22" s="472">
        <v>0</v>
      </c>
      <c r="K22" s="472">
        <v>63339.89</v>
      </c>
      <c r="L22" s="472">
        <v>22670</v>
      </c>
      <c r="M22" s="438"/>
    </row>
    <row r="23" spans="1:13" ht="20.100000000000001" customHeight="1" x14ac:dyDescent="0.2">
      <c r="A23" s="410" t="str">
        <f t="shared" si="0"/>
        <v>174233-3-142</v>
      </c>
      <c r="B23" s="465">
        <v>174233</v>
      </c>
      <c r="C23" s="466">
        <v>3</v>
      </c>
      <c r="D23" s="467" t="s">
        <v>8</v>
      </c>
      <c r="E23" s="466">
        <v>142</v>
      </c>
      <c r="F23" s="468">
        <v>199895.49</v>
      </c>
      <c r="G23" s="468">
        <v>199846.75</v>
      </c>
      <c r="H23" s="468">
        <v>4895.01</v>
      </c>
      <c r="I23" s="468">
        <v>194951.74</v>
      </c>
      <c r="J23" s="468">
        <v>642.85</v>
      </c>
      <c r="K23" s="468">
        <v>194308.89</v>
      </c>
      <c r="L23" s="468">
        <v>48.74</v>
      </c>
      <c r="M23" s="437"/>
    </row>
    <row r="24" spans="1:13" ht="20.100000000000001" customHeight="1" x14ac:dyDescent="0.2">
      <c r="A24" s="410" t="str">
        <f t="shared" si="0"/>
        <v>174233-4-142</v>
      </c>
      <c r="B24" s="469">
        <v>174233</v>
      </c>
      <c r="C24" s="470">
        <v>4</v>
      </c>
      <c r="D24" s="471" t="s">
        <v>7</v>
      </c>
      <c r="E24" s="470">
        <v>142</v>
      </c>
      <c r="F24" s="472">
        <v>144051.16</v>
      </c>
      <c r="G24" s="472">
        <v>139061.16</v>
      </c>
      <c r="H24" s="472">
        <v>133864.16</v>
      </c>
      <c r="I24" s="472">
        <v>5197</v>
      </c>
      <c r="J24" s="472">
        <v>0</v>
      </c>
      <c r="K24" s="472">
        <v>5197</v>
      </c>
      <c r="L24" s="472">
        <v>4990</v>
      </c>
      <c r="M24" s="438"/>
    </row>
    <row r="25" spans="1:13" ht="20.100000000000001" customHeight="1" x14ac:dyDescent="0.2">
      <c r="A25" s="410" t="str">
        <f t="shared" si="0"/>
        <v>174234-3-142</v>
      </c>
      <c r="B25" s="465">
        <v>174234</v>
      </c>
      <c r="C25" s="466">
        <v>3</v>
      </c>
      <c r="D25" s="467" t="s">
        <v>8</v>
      </c>
      <c r="E25" s="466">
        <v>142</v>
      </c>
      <c r="F25" s="468">
        <v>468440.97</v>
      </c>
      <c r="G25" s="468">
        <v>447249.82</v>
      </c>
      <c r="H25" s="468">
        <v>185703.11</v>
      </c>
      <c r="I25" s="468">
        <v>261546.71</v>
      </c>
      <c r="J25" s="468">
        <v>8609.73</v>
      </c>
      <c r="K25" s="468">
        <v>252936.98</v>
      </c>
      <c r="L25" s="468">
        <v>21191.15</v>
      </c>
      <c r="M25" s="437"/>
    </row>
    <row r="26" spans="1:13" ht="20.100000000000001" customHeight="1" x14ac:dyDescent="0.2">
      <c r="A26" s="410" t="str">
        <f t="shared" si="0"/>
        <v>174234-4-142</v>
      </c>
      <c r="B26" s="469">
        <v>174234</v>
      </c>
      <c r="C26" s="470">
        <v>4</v>
      </c>
      <c r="D26" s="471" t="s">
        <v>7</v>
      </c>
      <c r="E26" s="470">
        <v>142</v>
      </c>
      <c r="F26" s="472">
        <v>816018.62</v>
      </c>
      <c r="G26" s="472">
        <v>803979</v>
      </c>
      <c r="H26" s="472">
        <v>341000</v>
      </c>
      <c r="I26" s="472">
        <v>462979</v>
      </c>
      <c r="J26" s="472">
        <v>201022</v>
      </c>
      <c r="K26" s="472">
        <v>261957</v>
      </c>
      <c r="L26" s="472">
        <v>12039.62</v>
      </c>
      <c r="M26" s="438"/>
    </row>
    <row r="27" spans="1:13" ht="20.100000000000001" customHeight="1" x14ac:dyDescent="0.2">
      <c r="A27" s="410" t="str">
        <f t="shared" si="0"/>
        <v>174235-3-142</v>
      </c>
      <c r="B27" s="465">
        <v>174235</v>
      </c>
      <c r="C27" s="466">
        <v>3</v>
      </c>
      <c r="D27" s="467" t="s">
        <v>8</v>
      </c>
      <c r="E27" s="466">
        <v>142</v>
      </c>
      <c r="F27" s="468">
        <v>107219.37</v>
      </c>
      <c r="G27" s="468">
        <v>106990</v>
      </c>
      <c r="H27" s="468">
        <v>9051.4699999999993</v>
      </c>
      <c r="I27" s="468">
        <v>97938.53</v>
      </c>
      <c r="J27" s="468">
        <v>621.96</v>
      </c>
      <c r="K27" s="468">
        <v>97316.57</v>
      </c>
      <c r="L27" s="468">
        <v>229.37</v>
      </c>
      <c r="M27" s="437"/>
    </row>
    <row r="28" spans="1:13" ht="20.100000000000001" customHeight="1" x14ac:dyDescent="0.2">
      <c r="A28" s="410" t="str">
        <f t="shared" si="0"/>
        <v>174236-3-142</v>
      </c>
      <c r="B28" s="469">
        <v>174236</v>
      </c>
      <c r="C28" s="470">
        <v>3</v>
      </c>
      <c r="D28" s="471" t="s">
        <v>8</v>
      </c>
      <c r="E28" s="470">
        <v>142</v>
      </c>
      <c r="F28" s="472">
        <v>89337.3</v>
      </c>
      <c r="G28" s="472">
        <v>78275.789999999994</v>
      </c>
      <c r="H28" s="472">
        <v>45212.87</v>
      </c>
      <c r="I28" s="472">
        <v>33062.92</v>
      </c>
      <c r="J28" s="472">
        <v>9906.89</v>
      </c>
      <c r="K28" s="472">
        <v>23156.03</v>
      </c>
      <c r="L28" s="472">
        <v>11061.51</v>
      </c>
      <c r="M28" s="438"/>
    </row>
    <row r="29" spans="1:13" ht="20.100000000000001" customHeight="1" x14ac:dyDescent="0.2">
      <c r="A29" s="410" t="str">
        <f t="shared" si="0"/>
        <v>174236-4-142</v>
      </c>
      <c r="B29" s="465">
        <v>174236</v>
      </c>
      <c r="C29" s="466">
        <v>4</v>
      </c>
      <c r="D29" s="467" t="s">
        <v>7</v>
      </c>
      <c r="E29" s="466">
        <v>142</v>
      </c>
      <c r="F29" s="468">
        <v>1386</v>
      </c>
      <c r="G29" s="468">
        <v>0</v>
      </c>
      <c r="H29" s="468">
        <v>0</v>
      </c>
      <c r="I29" s="468"/>
      <c r="J29" s="468"/>
      <c r="K29" s="468"/>
      <c r="L29" s="468">
        <v>1386</v>
      </c>
      <c r="M29" s="437"/>
    </row>
    <row r="30" spans="1:13" ht="20.100000000000001" customHeight="1" x14ac:dyDescent="0.2">
      <c r="A30" s="410" t="str">
        <f t="shared" si="0"/>
        <v>174237-3-142</v>
      </c>
      <c r="B30" s="469">
        <v>174237</v>
      </c>
      <c r="C30" s="470">
        <v>3</v>
      </c>
      <c r="D30" s="471" t="s">
        <v>8</v>
      </c>
      <c r="E30" s="470">
        <v>142</v>
      </c>
      <c r="F30" s="472">
        <v>758534.24</v>
      </c>
      <c r="G30" s="472">
        <v>698195.18</v>
      </c>
      <c r="H30" s="472">
        <v>214114.5</v>
      </c>
      <c r="I30" s="472">
        <v>484080.68</v>
      </c>
      <c r="J30" s="472">
        <v>49824.71</v>
      </c>
      <c r="K30" s="472">
        <v>434255.97</v>
      </c>
      <c r="L30" s="472">
        <v>334039.06</v>
      </c>
      <c r="M30" s="438"/>
    </row>
    <row r="31" spans="1:13" ht="20.100000000000001" customHeight="1" x14ac:dyDescent="0.2">
      <c r="A31" s="410" t="str">
        <f t="shared" si="0"/>
        <v>174238-3-142</v>
      </c>
      <c r="B31" s="465">
        <v>174238</v>
      </c>
      <c r="C31" s="466">
        <v>3</v>
      </c>
      <c r="D31" s="467" t="s">
        <v>8</v>
      </c>
      <c r="E31" s="466">
        <v>142</v>
      </c>
      <c r="F31" s="468">
        <v>161528.14000000001</v>
      </c>
      <c r="G31" s="468">
        <v>137200.06</v>
      </c>
      <c r="H31" s="468">
        <v>24847.42</v>
      </c>
      <c r="I31" s="468">
        <v>112352.64</v>
      </c>
      <c r="J31" s="468">
        <v>2820.25</v>
      </c>
      <c r="K31" s="468">
        <v>109532.39</v>
      </c>
      <c r="L31" s="468">
        <v>24328.080000000002</v>
      </c>
      <c r="M31" s="437"/>
    </row>
    <row r="32" spans="1:13" ht="20.100000000000001" customHeight="1" x14ac:dyDescent="0.2">
      <c r="A32" s="410" t="str">
        <f t="shared" si="0"/>
        <v>174239-3-142</v>
      </c>
      <c r="B32" s="469">
        <v>174239</v>
      </c>
      <c r="C32" s="470">
        <v>3</v>
      </c>
      <c r="D32" s="471" t="s">
        <v>8</v>
      </c>
      <c r="E32" s="470">
        <v>142</v>
      </c>
      <c r="F32" s="472">
        <v>3169696.12</v>
      </c>
      <c r="G32" s="472">
        <v>3098832.06</v>
      </c>
      <c r="H32" s="472">
        <v>1357253.12</v>
      </c>
      <c r="I32" s="472">
        <v>1741578.94</v>
      </c>
      <c r="J32" s="472">
        <v>177738.83</v>
      </c>
      <c r="K32" s="472">
        <v>1563840.11</v>
      </c>
      <c r="L32" s="472">
        <v>70864.06</v>
      </c>
      <c r="M32" s="438"/>
    </row>
    <row r="33" spans="1:13" ht="20.100000000000001" customHeight="1" x14ac:dyDescent="0.2">
      <c r="A33" s="410" t="str">
        <f t="shared" si="0"/>
        <v>174239-4-142</v>
      </c>
      <c r="B33" s="465">
        <v>174239</v>
      </c>
      <c r="C33" s="466">
        <v>4</v>
      </c>
      <c r="D33" s="467" t="s">
        <v>7</v>
      </c>
      <c r="E33" s="466">
        <v>142</v>
      </c>
      <c r="F33" s="468">
        <v>27915.55</v>
      </c>
      <c r="G33" s="468">
        <v>21642.55</v>
      </c>
      <c r="H33" s="468">
        <v>21150.65</v>
      </c>
      <c r="I33" s="468">
        <v>491.9</v>
      </c>
      <c r="J33" s="468">
        <v>0</v>
      </c>
      <c r="K33" s="468">
        <v>491.9</v>
      </c>
      <c r="L33" s="468">
        <v>6273</v>
      </c>
      <c r="M33" s="437"/>
    </row>
    <row r="34" spans="1:13" ht="20.100000000000001" customHeight="1" x14ac:dyDescent="0.2">
      <c r="A34" s="410" t="str">
        <f t="shared" si="0"/>
        <v>174239-3-150</v>
      </c>
      <c r="B34" s="469">
        <v>174239</v>
      </c>
      <c r="C34" s="470">
        <v>3</v>
      </c>
      <c r="D34" s="471" t="s">
        <v>8</v>
      </c>
      <c r="E34" s="470">
        <v>150</v>
      </c>
      <c r="F34" s="472">
        <v>614089.68999999994</v>
      </c>
      <c r="G34" s="472">
        <v>613529.68999999994</v>
      </c>
      <c r="H34" s="472">
        <v>94720.16</v>
      </c>
      <c r="I34" s="472">
        <v>518809.53</v>
      </c>
      <c r="J34" s="472">
        <v>31920.84</v>
      </c>
      <c r="K34" s="472">
        <v>486888.69</v>
      </c>
      <c r="L34" s="472">
        <v>560</v>
      </c>
      <c r="M34" s="438"/>
    </row>
    <row r="35" spans="1:13" ht="20.100000000000001" customHeight="1" x14ac:dyDescent="0.2">
      <c r="A35" s="410" t="str">
        <f t="shared" si="0"/>
        <v>174240-3-142</v>
      </c>
      <c r="B35" s="465">
        <v>174240</v>
      </c>
      <c r="C35" s="466">
        <v>3</v>
      </c>
      <c r="D35" s="467" t="s">
        <v>8</v>
      </c>
      <c r="E35" s="466">
        <v>142</v>
      </c>
      <c r="F35" s="468">
        <v>299997.12</v>
      </c>
      <c r="G35" s="468">
        <v>247533.63</v>
      </c>
      <c r="H35" s="468">
        <v>34032.879999999997</v>
      </c>
      <c r="I35" s="468">
        <v>213500.75</v>
      </c>
      <c r="J35" s="468">
        <v>10859.35</v>
      </c>
      <c r="K35" s="468">
        <v>202641.4</v>
      </c>
      <c r="L35" s="468">
        <v>52463.49</v>
      </c>
      <c r="M35" s="437"/>
    </row>
    <row r="36" spans="1:13" ht="20.100000000000001" customHeight="1" x14ac:dyDescent="0.2">
      <c r="A36" s="410" t="str">
        <f t="shared" si="0"/>
        <v>174240-4-142</v>
      </c>
      <c r="B36" s="469">
        <v>174240</v>
      </c>
      <c r="C36" s="470">
        <v>4</v>
      </c>
      <c r="D36" s="471" t="s">
        <v>7</v>
      </c>
      <c r="E36" s="470">
        <v>142</v>
      </c>
      <c r="F36" s="472">
        <v>40871</v>
      </c>
      <c r="G36" s="472">
        <v>40871</v>
      </c>
      <c r="H36" s="472">
        <v>22878</v>
      </c>
      <c r="I36" s="472">
        <v>17993</v>
      </c>
      <c r="J36" s="472">
        <v>17993</v>
      </c>
      <c r="K36" s="472"/>
      <c r="L36" s="472">
        <v>0</v>
      </c>
      <c r="M36" s="438"/>
    </row>
    <row r="37" spans="1:13" ht="20.100000000000001" customHeight="1" x14ac:dyDescent="0.2">
      <c r="A37" s="410" t="str">
        <f t="shared" si="0"/>
        <v>174241-3-142</v>
      </c>
      <c r="B37" s="465">
        <v>174241</v>
      </c>
      <c r="C37" s="466">
        <v>3</v>
      </c>
      <c r="D37" s="467" t="s">
        <v>8</v>
      </c>
      <c r="E37" s="466">
        <v>142</v>
      </c>
      <c r="F37" s="468">
        <v>1664673.68</v>
      </c>
      <c r="G37" s="468">
        <v>1431129.01</v>
      </c>
      <c r="H37" s="468">
        <v>351210.3</v>
      </c>
      <c r="I37" s="468">
        <v>1079918.71</v>
      </c>
      <c r="J37" s="468">
        <v>9620.89</v>
      </c>
      <c r="K37" s="468">
        <v>1070297.82</v>
      </c>
      <c r="L37" s="468">
        <v>233544.67</v>
      </c>
      <c r="M37" s="437"/>
    </row>
    <row r="38" spans="1:13" ht="20.100000000000001" customHeight="1" x14ac:dyDescent="0.2">
      <c r="A38" s="410" t="str">
        <f t="shared" si="0"/>
        <v>174241-4-142</v>
      </c>
      <c r="B38" s="469">
        <v>174241</v>
      </c>
      <c r="C38" s="470">
        <v>4</v>
      </c>
      <c r="D38" s="471" t="s">
        <v>7</v>
      </c>
      <c r="E38" s="470">
        <v>142</v>
      </c>
      <c r="F38" s="472">
        <v>325343.44</v>
      </c>
      <c r="G38" s="472">
        <v>325343.44</v>
      </c>
      <c r="H38" s="472">
        <v>68877.440000000002</v>
      </c>
      <c r="I38" s="472">
        <v>256466</v>
      </c>
      <c r="J38" s="472">
        <v>35986</v>
      </c>
      <c r="K38" s="472">
        <v>220480</v>
      </c>
      <c r="L38" s="472">
        <v>0</v>
      </c>
      <c r="M38" s="438"/>
    </row>
    <row r="39" spans="1:13" ht="20.100000000000001" customHeight="1" x14ac:dyDescent="0.2">
      <c r="A39" s="410" t="str">
        <f t="shared" si="0"/>
        <v>174242-3-142</v>
      </c>
      <c r="B39" s="465">
        <v>174242</v>
      </c>
      <c r="C39" s="466">
        <v>3</v>
      </c>
      <c r="D39" s="467" t="s">
        <v>8</v>
      </c>
      <c r="E39" s="466">
        <v>142</v>
      </c>
      <c r="F39" s="468">
        <v>1382568.44</v>
      </c>
      <c r="G39" s="468">
        <v>1306092.19</v>
      </c>
      <c r="H39" s="468">
        <v>494197.83</v>
      </c>
      <c r="I39" s="468">
        <v>811894.36</v>
      </c>
      <c r="J39" s="468">
        <v>21837.21</v>
      </c>
      <c r="K39" s="468">
        <v>790057.15</v>
      </c>
      <c r="L39" s="468">
        <v>76476.25</v>
      </c>
      <c r="M39" s="437"/>
    </row>
    <row r="40" spans="1:13" ht="20.100000000000001" customHeight="1" x14ac:dyDescent="0.2">
      <c r="A40" s="410" t="str">
        <f t="shared" si="0"/>
        <v>174242-4-142</v>
      </c>
      <c r="B40" s="469">
        <v>174242</v>
      </c>
      <c r="C40" s="470">
        <v>4</v>
      </c>
      <c r="D40" s="471" t="s">
        <v>7</v>
      </c>
      <c r="E40" s="470">
        <v>142</v>
      </c>
      <c r="F40" s="472">
        <v>313088.25</v>
      </c>
      <c r="G40" s="472">
        <v>260664.25</v>
      </c>
      <c r="H40" s="472">
        <v>62741.25</v>
      </c>
      <c r="I40" s="472">
        <v>197923</v>
      </c>
      <c r="J40" s="472">
        <v>0</v>
      </c>
      <c r="K40" s="472">
        <v>197923</v>
      </c>
      <c r="L40" s="472">
        <v>52424</v>
      </c>
      <c r="M40" s="438"/>
    </row>
    <row r="41" spans="1:13" ht="20.100000000000001" customHeight="1" x14ac:dyDescent="0.2">
      <c r="A41" s="410" t="str">
        <f t="shared" si="0"/>
        <v>174243-3-142</v>
      </c>
      <c r="B41" s="465">
        <v>174243</v>
      </c>
      <c r="C41" s="466">
        <v>3</v>
      </c>
      <c r="D41" s="467" t="s">
        <v>8</v>
      </c>
      <c r="E41" s="466">
        <v>142</v>
      </c>
      <c r="F41" s="468">
        <v>127923.14</v>
      </c>
      <c r="G41" s="468">
        <v>126039.91</v>
      </c>
      <c r="H41" s="468">
        <v>3747.6</v>
      </c>
      <c r="I41" s="468">
        <v>122292.31</v>
      </c>
      <c r="J41" s="468">
        <v>0</v>
      </c>
      <c r="K41" s="468">
        <v>122292.31</v>
      </c>
      <c r="L41" s="468">
        <v>1883.23</v>
      </c>
      <c r="M41" s="437"/>
    </row>
    <row r="42" spans="1:13" ht="20.100000000000001" customHeight="1" x14ac:dyDescent="0.2">
      <c r="A42" s="410" t="str">
        <f t="shared" si="0"/>
        <v>174244-3-142</v>
      </c>
      <c r="B42" s="469">
        <v>174244</v>
      </c>
      <c r="C42" s="470">
        <v>3</v>
      </c>
      <c r="D42" s="471" t="s">
        <v>8</v>
      </c>
      <c r="E42" s="470">
        <v>142</v>
      </c>
      <c r="F42" s="472">
        <v>85011.48</v>
      </c>
      <c r="G42" s="472">
        <v>85011.48</v>
      </c>
      <c r="H42" s="472">
        <v>85011.48</v>
      </c>
      <c r="I42" s="472"/>
      <c r="J42" s="472"/>
      <c r="K42" s="472"/>
      <c r="L42" s="472">
        <v>0</v>
      </c>
      <c r="M42" s="438"/>
    </row>
    <row r="43" spans="1:13" ht="20.100000000000001" customHeight="1" x14ac:dyDescent="0.2">
      <c r="A43" s="410" t="str">
        <f t="shared" si="0"/>
        <v>174245-3-142</v>
      </c>
      <c r="B43" s="465">
        <v>174245</v>
      </c>
      <c r="C43" s="466">
        <v>3</v>
      </c>
      <c r="D43" s="467" t="s">
        <v>8</v>
      </c>
      <c r="E43" s="466">
        <v>142</v>
      </c>
      <c r="F43" s="468">
        <v>2268973.6800000002</v>
      </c>
      <c r="G43" s="468">
        <v>2260374.1800000002</v>
      </c>
      <c r="H43" s="468">
        <v>1423153.47</v>
      </c>
      <c r="I43" s="468">
        <v>837220.71</v>
      </c>
      <c r="J43" s="468">
        <v>19765.75</v>
      </c>
      <c r="K43" s="468">
        <v>817454.96</v>
      </c>
      <c r="L43" s="468">
        <v>8599.5</v>
      </c>
      <c r="M43" s="437"/>
    </row>
    <row r="44" spans="1:13" ht="20.100000000000001" customHeight="1" x14ac:dyDescent="0.2">
      <c r="A44" s="410" t="str">
        <f t="shared" si="0"/>
        <v>174245-4-142</v>
      </c>
      <c r="B44" s="469">
        <v>174245</v>
      </c>
      <c r="C44" s="470">
        <v>4</v>
      </c>
      <c r="D44" s="471" t="s">
        <v>7</v>
      </c>
      <c r="E44" s="470">
        <v>142</v>
      </c>
      <c r="F44" s="472">
        <v>407991.66</v>
      </c>
      <c r="G44" s="472">
        <v>386111</v>
      </c>
      <c r="H44" s="472">
        <v>39060</v>
      </c>
      <c r="I44" s="472">
        <v>347051</v>
      </c>
      <c r="J44" s="472">
        <v>0</v>
      </c>
      <c r="K44" s="472">
        <v>347051</v>
      </c>
      <c r="L44" s="472">
        <v>21880.66</v>
      </c>
      <c r="M44" s="438"/>
    </row>
    <row r="45" spans="1:13" ht="20.100000000000001" customHeight="1" x14ac:dyDescent="0.2">
      <c r="A45" s="410" t="str">
        <f t="shared" si="0"/>
        <v>174246-3-142</v>
      </c>
      <c r="B45" s="465">
        <v>174246</v>
      </c>
      <c r="C45" s="466">
        <v>3</v>
      </c>
      <c r="D45" s="467" t="s">
        <v>8</v>
      </c>
      <c r="E45" s="466">
        <v>142</v>
      </c>
      <c r="F45" s="468">
        <v>243311.97</v>
      </c>
      <c r="G45" s="468">
        <v>240941.31</v>
      </c>
      <c r="H45" s="468">
        <v>230300.4</v>
      </c>
      <c r="I45" s="468">
        <v>10640.91</v>
      </c>
      <c r="J45" s="468">
        <v>2925.58</v>
      </c>
      <c r="K45" s="468">
        <v>7715.33</v>
      </c>
      <c r="L45" s="468">
        <v>2370.66</v>
      </c>
      <c r="M45" s="437"/>
    </row>
    <row r="46" spans="1:13" ht="20.100000000000001" customHeight="1" x14ac:dyDescent="0.2">
      <c r="A46" s="410" t="str">
        <f t="shared" si="0"/>
        <v>174247-3-142</v>
      </c>
      <c r="B46" s="469">
        <v>174247</v>
      </c>
      <c r="C46" s="470">
        <v>3</v>
      </c>
      <c r="D46" s="471" t="s">
        <v>8</v>
      </c>
      <c r="E46" s="470">
        <v>142</v>
      </c>
      <c r="F46" s="472">
        <v>146208.25</v>
      </c>
      <c r="G46" s="472">
        <v>141562.15</v>
      </c>
      <c r="H46" s="472">
        <v>11855.66</v>
      </c>
      <c r="I46" s="472">
        <v>129706.49</v>
      </c>
      <c r="J46" s="472">
        <v>117.87</v>
      </c>
      <c r="K46" s="472">
        <v>129588.62</v>
      </c>
      <c r="L46" s="472">
        <v>4646.1000000000004</v>
      </c>
      <c r="M46" s="438"/>
    </row>
    <row r="47" spans="1:13" ht="20.100000000000001" customHeight="1" x14ac:dyDescent="0.2">
      <c r="A47" s="410" t="str">
        <f t="shared" si="0"/>
        <v>174249-3-142</v>
      </c>
      <c r="B47" s="465">
        <v>174249</v>
      </c>
      <c r="C47" s="466">
        <v>3</v>
      </c>
      <c r="D47" s="467" t="s">
        <v>8</v>
      </c>
      <c r="E47" s="466">
        <v>142</v>
      </c>
      <c r="F47" s="468">
        <v>250763.51</v>
      </c>
      <c r="G47" s="468">
        <v>207081.93</v>
      </c>
      <c r="H47" s="468">
        <v>10513.01</v>
      </c>
      <c r="I47" s="468">
        <v>196568.92</v>
      </c>
      <c r="J47" s="468">
        <v>10330.85</v>
      </c>
      <c r="K47" s="468">
        <v>186238.07</v>
      </c>
      <c r="L47" s="468">
        <v>43681.58</v>
      </c>
      <c r="M47" s="437"/>
    </row>
    <row r="48" spans="1:13" ht="20.100000000000001" customHeight="1" x14ac:dyDescent="0.2">
      <c r="A48" s="410" t="str">
        <f t="shared" si="0"/>
        <v>174249-4-142</v>
      </c>
      <c r="B48" s="469">
        <v>174249</v>
      </c>
      <c r="C48" s="470">
        <v>4</v>
      </c>
      <c r="D48" s="471" t="s">
        <v>7</v>
      </c>
      <c r="E48" s="470">
        <v>142</v>
      </c>
      <c r="F48" s="472">
        <v>299720</v>
      </c>
      <c r="G48" s="472">
        <v>299720</v>
      </c>
      <c r="H48" s="472">
        <v>299720</v>
      </c>
      <c r="I48" s="472"/>
      <c r="J48" s="472"/>
      <c r="K48" s="472"/>
      <c r="L48" s="472">
        <v>0</v>
      </c>
      <c r="M48" s="438"/>
    </row>
    <row r="49" spans="1:13" ht="20.100000000000001" customHeight="1" x14ac:dyDescent="0.2">
      <c r="A49" s="410" t="str">
        <f t="shared" si="0"/>
        <v>174250-3-142</v>
      </c>
      <c r="B49" s="465">
        <v>174250</v>
      </c>
      <c r="C49" s="466">
        <v>3</v>
      </c>
      <c r="D49" s="467" t="s">
        <v>8</v>
      </c>
      <c r="E49" s="466">
        <v>142</v>
      </c>
      <c r="F49" s="468">
        <v>767310.27</v>
      </c>
      <c r="G49" s="468">
        <v>767310.27</v>
      </c>
      <c r="H49" s="468">
        <v>92031.25</v>
      </c>
      <c r="I49" s="468">
        <v>675279.02</v>
      </c>
      <c r="J49" s="468">
        <v>22038.97</v>
      </c>
      <c r="K49" s="468">
        <v>653240.05000000005</v>
      </c>
      <c r="L49" s="468">
        <v>0</v>
      </c>
      <c r="M49" s="437"/>
    </row>
    <row r="50" spans="1:13" ht="20.100000000000001" customHeight="1" x14ac:dyDescent="0.2">
      <c r="A50" s="410" t="str">
        <f t="shared" si="0"/>
        <v>174250-4-142</v>
      </c>
      <c r="B50" s="469">
        <v>174250</v>
      </c>
      <c r="C50" s="470">
        <v>4</v>
      </c>
      <c r="D50" s="471" t="s">
        <v>7</v>
      </c>
      <c r="E50" s="470">
        <v>142</v>
      </c>
      <c r="F50" s="472">
        <v>212716</v>
      </c>
      <c r="G50" s="472">
        <v>212716</v>
      </c>
      <c r="H50" s="472">
        <v>212716</v>
      </c>
      <c r="I50" s="472"/>
      <c r="J50" s="472"/>
      <c r="K50" s="472"/>
      <c r="L50" s="472">
        <v>0</v>
      </c>
      <c r="M50" s="438"/>
    </row>
    <row r="51" spans="1:13" ht="20.100000000000001" customHeight="1" x14ac:dyDescent="0.2">
      <c r="A51" s="410" t="str">
        <f t="shared" si="0"/>
        <v>174252-3-142</v>
      </c>
      <c r="B51" s="465">
        <v>174252</v>
      </c>
      <c r="C51" s="466">
        <v>3</v>
      </c>
      <c r="D51" s="467" t="s">
        <v>8</v>
      </c>
      <c r="E51" s="466">
        <v>142</v>
      </c>
      <c r="F51" s="468">
        <v>1336402.3899999999</v>
      </c>
      <c r="G51" s="468">
        <v>1215407.5900000001</v>
      </c>
      <c r="H51" s="468">
        <v>246036.2</v>
      </c>
      <c r="I51" s="468">
        <v>969371.39</v>
      </c>
      <c r="J51" s="468">
        <v>36933.22</v>
      </c>
      <c r="K51" s="468">
        <v>932438.17</v>
      </c>
      <c r="L51" s="468">
        <v>120994.8</v>
      </c>
      <c r="M51" s="437"/>
    </row>
    <row r="52" spans="1:13" ht="20.100000000000001" customHeight="1" x14ac:dyDescent="0.2">
      <c r="A52" s="410" t="str">
        <f t="shared" si="0"/>
        <v>174253-3-142</v>
      </c>
      <c r="B52" s="469">
        <v>174253</v>
      </c>
      <c r="C52" s="470">
        <v>3</v>
      </c>
      <c r="D52" s="471" t="s">
        <v>8</v>
      </c>
      <c r="E52" s="470">
        <v>142</v>
      </c>
      <c r="F52" s="472">
        <v>133454.70000000001</v>
      </c>
      <c r="G52" s="472">
        <v>124113.43</v>
      </c>
      <c r="H52" s="472">
        <v>34716.06</v>
      </c>
      <c r="I52" s="472">
        <v>89397.37</v>
      </c>
      <c r="J52" s="472">
        <v>65.13</v>
      </c>
      <c r="K52" s="472">
        <v>89332.24</v>
      </c>
      <c r="L52" s="472">
        <v>9341.27</v>
      </c>
      <c r="M52" s="438"/>
    </row>
    <row r="53" spans="1:13" ht="20.100000000000001" customHeight="1" x14ac:dyDescent="0.2">
      <c r="A53" s="410" t="str">
        <f t="shared" si="0"/>
        <v>174254-3-142</v>
      </c>
      <c r="B53" s="465">
        <v>174254</v>
      </c>
      <c r="C53" s="466">
        <v>3</v>
      </c>
      <c r="D53" s="467" t="s">
        <v>8</v>
      </c>
      <c r="E53" s="466">
        <v>142</v>
      </c>
      <c r="F53" s="468">
        <v>539068.31999999995</v>
      </c>
      <c r="G53" s="468">
        <v>390493.1</v>
      </c>
      <c r="H53" s="468">
        <v>65804.69</v>
      </c>
      <c r="I53" s="468">
        <v>324688.40999999997</v>
      </c>
      <c r="J53" s="468">
        <v>9510.4699999999993</v>
      </c>
      <c r="K53" s="468">
        <v>315177.94</v>
      </c>
      <c r="L53" s="468">
        <v>148575.22</v>
      </c>
      <c r="M53" s="437"/>
    </row>
    <row r="54" spans="1:13" ht="20.100000000000001" customHeight="1" x14ac:dyDescent="0.2">
      <c r="A54" s="410" t="str">
        <f t="shared" si="0"/>
        <v>174256-3-142</v>
      </c>
      <c r="B54" s="469">
        <v>174256</v>
      </c>
      <c r="C54" s="470">
        <v>3</v>
      </c>
      <c r="D54" s="471" t="s">
        <v>8</v>
      </c>
      <c r="E54" s="470">
        <v>142</v>
      </c>
      <c r="F54" s="472">
        <v>298046.99</v>
      </c>
      <c r="G54" s="472">
        <v>298046.99</v>
      </c>
      <c r="H54" s="472">
        <v>272559.83</v>
      </c>
      <c r="I54" s="472">
        <v>25487.16</v>
      </c>
      <c r="J54" s="472">
        <v>0</v>
      </c>
      <c r="K54" s="472">
        <v>25487.16</v>
      </c>
      <c r="L54" s="472">
        <v>0</v>
      </c>
      <c r="M54" s="438"/>
    </row>
    <row r="55" spans="1:13" ht="20.100000000000001" customHeight="1" x14ac:dyDescent="0.2">
      <c r="A55" s="410" t="str">
        <f t="shared" si="0"/>
        <v>174257-3-142</v>
      </c>
      <c r="B55" s="465">
        <v>174257</v>
      </c>
      <c r="C55" s="466">
        <v>3</v>
      </c>
      <c r="D55" s="467" t="s">
        <v>8</v>
      </c>
      <c r="E55" s="466">
        <v>142</v>
      </c>
      <c r="F55" s="468">
        <v>2732609.69</v>
      </c>
      <c r="G55" s="468">
        <v>1148227.6599999999</v>
      </c>
      <c r="H55" s="468">
        <v>442998.66</v>
      </c>
      <c r="I55" s="468">
        <v>705229</v>
      </c>
      <c r="J55" s="468">
        <v>31829.06</v>
      </c>
      <c r="K55" s="468">
        <v>673399.94</v>
      </c>
      <c r="L55" s="468">
        <v>1584382.03</v>
      </c>
      <c r="M55" s="437"/>
    </row>
    <row r="56" spans="1:13" ht="20.100000000000001" customHeight="1" x14ac:dyDescent="0.2">
      <c r="A56" s="410" t="str">
        <f t="shared" si="0"/>
        <v>174257-4-142</v>
      </c>
      <c r="B56" s="469">
        <v>174257</v>
      </c>
      <c r="C56" s="470">
        <v>4</v>
      </c>
      <c r="D56" s="471" t="s">
        <v>7</v>
      </c>
      <c r="E56" s="470">
        <v>142</v>
      </c>
      <c r="F56" s="472">
        <v>70000</v>
      </c>
      <c r="G56" s="472">
        <v>70000</v>
      </c>
      <c r="H56" s="472">
        <v>70000</v>
      </c>
      <c r="I56" s="472"/>
      <c r="J56" s="472"/>
      <c r="K56" s="472"/>
      <c r="L56" s="472">
        <v>0</v>
      </c>
      <c r="M56" s="438"/>
    </row>
    <row r="57" spans="1:13" ht="20.100000000000001" customHeight="1" x14ac:dyDescent="0.2">
      <c r="A57" s="410" t="str">
        <f t="shared" si="0"/>
        <v>174258-3-142</v>
      </c>
      <c r="B57" s="465">
        <v>174258</v>
      </c>
      <c r="C57" s="466">
        <v>3</v>
      </c>
      <c r="D57" s="467" t="s">
        <v>8</v>
      </c>
      <c r="E57" s="466">
        <v>142</v>
      </c>
      <c r="F57" s="468">
        <v>759050.96</v>
      </c>
      <c r="G57" s="468">
        <v>675619.51</v>
      </c>
      <c r="H57" s="468">
        <v>73916.25</v>
      </c>
      <c r="I57" s="468">
        <v>601703.26</v>
      </c>
      <c r="J57" s="468">
        <v>15613.51</v>
      </c>
      <c r="K57" s="468">
        <v>586089.75</v>
      </c>
      <c r="L57" s="468">
        <v>83431.45</v>
      </c>
      <c r="M57" s="437"/>
    </row>
    <row r="58" spans="1:13" ht="20.100000000000001" customHeight="1" x14ac:dyDescent="0.2">
      <c r="A58" s="410" t="str">
        <f t="shared" si="0"/>
        <v>174258-4-142</v>
      </c>
      <c r="B58" s="469">
        <v>174258</v>
      </c>
      <c r="C58" s="470">
        <v>4</v>
      </c>
      <c r="D58" s="471" t="s">
        <v>7</v>
      </c>
      <c r="E58" s="470">
        <v>142</v>
      </c>
      <c r="F58" s="472">
        <v>64804</v>
      </c>
      <c r="G58" s="472">
        <v>58895.89</v>
      </c>
      <c r="H58" s="472">
        <v>58895.89</v>
      </c>
      <c r="I58" s="472"/>
      <c r="J58" s="472"/>
      <c r="K58" s="472"/>
      <c r="L58" s="472">
        <v>5908.11</v>
      </c>
      <c r="M58" s="438"/>
    </row>
    <row r="59" spans="1:13" ht="20.100000000000001" customHeight="1" x14ac:dyDescent="0.2">
      <c r="A59" s="410" t="str">
        <f t="shared" si="0"/>
        <v>174259-3-142</v>
      </c>
      <c r="B59" s="465">
        <v>174259</v>
      </c>
      <c r="C59" s="466">
        <v>3</v>
      </c>
      <c r="D59" s="467" t="s">
        <v>8</v>
      </c>
      <c r="E59" s="466">
        <v>142</v>
      </c>
      <c r="F59" s="468">
        <v>116351.59</v>
      </c>
      <c r="G59" s="468">
        <v>108181.85</v>
      </c>
      <c r="H59" s="468">
        <v>20000</v>
      </c>
      <c r="I59" s="468">
        <v>88181.85</v>
      </c>
      <c r="J59" s="468">
        <v>29237.89</v>
      </c>
      <c r="K59" s="468">
        <v>58943.96</v>
      </c>
      <c r="L59" s="468">
        <v>8169.74</v>
      </c>
      <c r="M59" s="437"/>
    </row>
    <row r="60" spans="1:13" ht="20.100000000000001" customHeight="1" x14ac:dyDescent="0.2">
      <c r="A60" s="410" t="str">
        <f t="shared" si="0"/>
        <v>174260-3-142</v>
      </c>
      <c r="B60" s="469">
        <v>174260</v>
      </c>
      <c r="C60" s="470">
        <v>3</v>
      </c>
      <c r="D60" s="471" t="s">
        <v>8</v>
      </c>
      <c r="E60" s="470">
        <v>142</v>
      </c>
      <c r="F60" s="472">
        <v>840299.58</v>
      </c>
      <c r="G60" s="472">
        <v>736068.49</v>
      </c>
      <c r="H60" s="472">
        <v>256024.36</v>
      </c>
      <c r="I60" s="472">
        <v>480044.13</v>
      </c>
      <c r="J60" s="472">
        <v>6654.74</v>
      </c>
      <c r="K60" s="472">
        <v>473389.39</v>
      </c>
      <c r="L60" s="472">
        <v>104231.09</v>
      </c>
      <c r="M60" s="438"/>
    </row>
    <row r="61" spans="1:13" ht="20.100000000000001" customHeight="1" x14ac:dyDescent="0.2">
      <c r="A61" s="410" t="str">
        <f t="shared" si="0"/>
        <v>174261-3-142</v>
      </c>
      <c r="B61" s="465">
        <v>174261</v>
      </c>
      <c r="C61" s="466">
        <v>3</v>
      </c>
      <c r="D61" s="467" t="s">
        <v>8</v>
      </c>
      <c r="E61" s="466">
        <v>142</v>
      </c>
      <c r="F61" s="468">
        <v>5731943.6900000004</v>
      </c>
      <c r="G61" s="468">
        <v>5731943.6900000004</v>
      </c>
      <c r="H61" s="468">
        <v>5271784.43</v>
      </c>
      <c r="I61" s="468">
        <v>460159.26</v>
      </c>
      <c r="J61" s="468">
        <v>22701.94</v>
      </c>
      <c r="K61" s="468">
        <v>437457.32</v>
      </c>
      <c r="L61" s="468">
        <v>0</v>
      </c>
      <c r="M61" s="437"/>
    </row>
    <row r="62" spans="1:13" ht="20.100000000000001" customHeight="1" x14ac:dyDescent="0.2">
      <c r="A62" s="410" t="str">
        <f t="shared" si="0"/>
        <v>174262-3-142</v>
      </c>
      <c r="B62" s="469">
        <v>174262</v>
      </c>
      <c r="C62" s="470">
        <v>3</v>
      </c>
      <c r="D62" s="471" t="s">
        <v>8</v>
      </c>
      <c r="E62" s="470">
        <v>142</v>
      </c>
      <c r="F62" s="472">
        <v>849845.51</v>
      </c>
      <c r="G62" s="472">
        <v>846065.55</v>
      </c>
      <c r="H62" s="472">
        <v>194087.53</v>
      </c>
      <c r="I62" s="472">
        <v>651978.02</v>
      </c>
      <c r="J62" s="472">
        <v>229560.37</v>
      </c>
      <c r="K62" s="472">
        <v>422417.65</v>
      </c>
      <c r="L62" s="472">
        <v>3779.96</v>
      </c>
      <c r="M62" s="438"/>
    </row>
    <row r="63" spans="1:13" ht="20.100000000000001" customHeight="1" x14ac:dyDescent="0.2">
      <c r="A63" s="410" t="str">
        <f t="shared" si="0"/>
        <v>174262-4-142</v>
      </c>
      <c r="B63" s="465">
        <v>174262</v>
      </c>
      <c r="C63" s="466">
        <v>4</v>
      </c>
      <c r="D63" s="467" t="s">
        <v>7</v>
      </c>
      <c r="E63" s="466">
        <v>142</v>
      </c>
      <c r="F63" s="468">
        <v>475000</v>
      </c>
      <c r="G63" s="468">
        <v>475000</v>
      </c>
      <c r="H63" s="468">
        <v>475000</v>
      </c>
      <c r="I63" s="468"/>
      <c r="J63" s="468"/>
      <c r="K63" s="468"/>
      <c r="L63" s="468">
        <v>0</v>
      </c>
      <c r="M63" s="437"/>
    </row>
    <row r="64" spans="1:13" ht="20.100000000000001" customHeight="1" x14ac:dyDescent="0.2">
      <c r="A64" s="410" t="str">
        <f t="shared" si="0"/>
        <v>174263-3-142</v>
      </c>
      <c r="B64" s="469">
        <v>174263</v>
      </c>
      <c r="C64" s="470">
        <v>3</v>
      </c>
      <c r="D64" s="471" t="s">
        <v>8</v>
      </c>
      <c r="E64" s="470">
        <v>142</v>
      </c>
      <c r="F64" s="472">
        <v>179572.1</v>
      </c>
      <c r="G64" s="472">
        <v>162683.32999999999</v>
      </c>
      <c r="H64" s="472">
        <v>43145.96</v>
      </c>
      <c r="I64" s="472">
        <v>119537.37</v>
      </c>
      <c r="J64" s="472">
        <v>1983.62</v>
      </c>
      <c r="K64" s="472">
        <v>117553.75</v>
      </c>
      <c r="L64" s="472">
        <v>16888.77</v>
      </c>
      <c r="M64" s="438"/>
    </row>
    <row r="65" spans="1:13" ht="20.100000000000001" customHeight="1" x14ac:dyDescent="0.2">
      <c r="A65" s="410" t="str">
        <f t="shared" si="0"/>
        <v>174263-4-142</v>
      </c>
      <c r="B65" s="465">
        <v>174263</v>
      </c>
      <c r="C65" s="466">
        <v>4</v>
      </c>
      <c r="D65" s="467" t="s">
        <v>7</v>
      </c>
      <c r="E65" s="466">
        <v>142</v>
      </c>
      <c r="F65" s="468">
        <v>26406</v>
      </c>
      <c r="G65" s="468"/>
      <c r="H65" s="468"/>
      <c r="I65" s="468"/>
      <c r="J65" s="468"/>
      <c r="K65" s="468"/>
      <c r="L65" s="468">
        <v>26406</v>
      </c>
      <c r="M65" s="437"/>
    </row>
    <row r="66" spans="1:13" ht="20.100000000000001" customHeight="1" x14ac:dyDescent="0.2">
      <c r="A66" s="410" t="str">
        <f t="shared" si="0"/>
        <v>174264-3-142</v>
      </c>
      <c r="B66" s="469">
        <v>174264</v>
      </c>
      <c r="C66" s="470">
        <v>3</v>
      </c>
      <c r="D66" s="471" t="s">
        <v>8</v>
      </c>
      <c r="E66" s="470">
        <v>142</v>
      </c>
      <c r="F66" s="472">
        <v>1419903.08</v>
      </c>
      <c r="G66" s="472">
        <v>906615.2</v>
      </c>
      <c r="H66" s="472">
        <v>144121.76999999999</v>
      </c>
      <c r="I66" s="472">
        <v>762493.43</v>
      </c>
      <c r="J66" s="472">
        <v>7910</v>
      </c>
      <c r="K66" s="472">
        <v>754583.43</v>
      </c>
      <c r="L66" s="472">
        <v>513287.88</v>
      </c>
      <c r="M66" s="438"/>
    </row>
    <row r="67" spans="1:13" ht="20.100000000000001" customHeight="1" x14ac:dyDescent="0.2">
      <c r="A67" s="410" t="str">
        <f t="shared" si="0"/>
        <v>174264-4-142</v>
      </c>
      <c r="B67" s="465">
        <v>174264</v>
      </c>
      <c r="C67" s="466">
        <v>4</v>
      </c>
      <c r="D67" s="467" t="s">
        <v>7</v>
      </c>
      <c r="E67" s="466">
        <v>142</v>
      </c>
      <c r="F67" s="468">
        <v>247782.25</v>
      </c>
      <c r="G67" s="468">
        <v>247782.25</v>
      </c>
      <c r="H67" s="468">
        <v>207126.25</v>
      </c>
      <c r="I67" s="468">
        <v>40656</v>
      </c>
      <c r="J67" s="468">
        <v>3099</v>
      </c>
      <c r="K67" s="468">
        <v>37557</v>
      </c>
      <c r="L67" s="468">
        <v>0</v>
      </c>
      <c r="M67" s="437"/>
    </row>
    <row r="68" spans="1:13" ht="20.100000000000001" customHeight="1" x14ac:dyDescent="0.2">
      <c r="A68" s="410" t="str">
        <f t="shared" si="0"/>
        <v>174265-3-142</v>
      </c>
      <c r="B68" s="469">
        <v>174265</v>
      </c>
      <c r="C68" s="470">
        <v>3</v>
      </c>
      <c r="D68" s="471" t="s">
        <v>8</v>
      </c>
      <c r="E68" s="470">
        <v>142</v>
      </c>
      <c r="F68" s="472">
        <v>302017.37</v>
      </c>
      <c r="G68" s="472">
        <v>259192.91</v>
      </c>
      <c r="H68" s="472">
        <v>70265.42</v>
      </c>
      <c r="I68" s="472">
        <v>188927.49</v>
      </c>
      <c r="J68" s="472">
        <v>2387.15</v>
      </c>
      <c r="K68" s="472">
        <v>186540.34</v>
      </c>
      <c r="L68" s="472">
        <v>42824.46</v>
      </c>
      <c r="M68" s="438"/>
    </row>
    <row r="69" spans="1:13" ht="20.100000000000001" customHeight="1" x14ac:dyDescent="0.2">
      <c r="A69" s="410" t="str">
        <f t="shared" si="0"/>
        <v>174267-3-142</v>
      </c>
      <c r="B69" s="465">
        <v>174267</v>
      </c>
      <c r="C69" s="466">
        <v>3</v>
      </c>
      <c r="D69" s="467" t="s">
        <v>8</v>
      </c>
      <c r="E69" s="466">
        <v>142</v>
      </c>
      <c r="F69" s="468">
        <v>1003458.07</v>
      </c>
      <c r="G69" s="468">
        <v>1003288.07</v>
      </c>
      <c r="H69" s="468">
        <v>4316.5200000000004</v>
      </c>
      <c r="I69" s="468">
        <v>998971.55</v>
      </c>
      <c r="J69" s="468">
        <v>369285.41</v>
      </c>
      <c r="K69" s="468">
        <v>629686.14</v>
      </c>
      <c r="L69" s="468">
        <v>170</v>
      </c>
      <c r="M69" s="437"/>
    </row>
    <row r="70" spans="1:13" ht="20.100000000000001" customHeight="1" x14ac:dyDescent="0.2">
      <c r="A70" s="410" t="str">
        <f t="shared" si="0"/>
        <v>174267-4-142</v>
      </c>
      <c r="B70" s="469">
        <v>174267</v>
      </c>
      <c r="C70" s="470">
        <v>4</v>
      </c>
      <c r="D70" s="471" t="s">
        <v>7</v>
      </c>
      <c r="E70" s="470">
        <v>142</v>
      </c>
      <c r="F70" s="472">
        <v>110000</v>
      </c>
      <c r="G70" s="472">
        <v>110000</v>
      </c>
      <c r="H70" s="472">
        <v>110000</v>
      </c>
      <c r="I70" s="472"/>
      <c r="J70" s="472"/>
      <c r="K70" s="472"/>
      <c r="L70" s="472">
        <v>0</v>
      </c>
      <c r="M70" s="438"/>
    </row>
    <row r="71" spans="1:13" ht="20.100000000000001" customHeight="1" x14ac:dyDescent="0.2">
      <c r="A71" s="410" t="str">
        <f t="shared" ref="A71:A82" si="1">CONCATENATE(B71,"-",C71,"-",E71)</f>
        <v>174268-3-142</v>
      </c>
      <c r="B71" s="465">
        <v>174268</v>
      </c>
      <c r="C71" s="466">
        <v>3</v>
      </c>
      <c r="D71" s="467" t="s">
        <v>8</v>
      </c>
      <c r="E71" s="466">
        <v>142</v>
      </c>
      <c r="F71" s="468">
        <v>350953.8</v>
      </c>
      <c r="G71" s="468">
        <v>333579.59999999998</v>
      </c>
      <c r="H71" s="468">
        <v>62617.53</v>
      </c>
      <c r="I71" s="468">
        <v>270962.07</v>
      </c>
      <c r="J71" s="468">
        <v>18120.52</v>
      </c>
      <c r="K71" s="468">
        <v>252841.55</v>
      </c>
      <c r="L71" s="468">
        <v>17374.2</v>
      </c>
      <c r="M71" s="437"/>
    </row>
    <row r="72" spans="1:13" ht="20.100000000000001" customHeight="1" x14ac:dyDescent="0.2">
      <c r="A72" s="410" t="str">
        <f t="shared" si="1"/>
        <v>174268-4-142</v>
      </c>
      <c r="B72" s="469">
        <v>174268</v>
      </c>
      <c r="C72" s="470">
        <v>4</v>
      </c>
      <c r="D72" s="471" t="s">
        <v>7</v>
      </c>
      <c r="E72" s="470">
        <v>142</v>
      </c>
      <c r="F72" s="472">
        <v>12000</v>
      </c>
      <c r="G72" s="472">
        <v>12000</v>
      </c>
      <c r="H72" s="472">
        <v>12000</v>
      </c>
      <c r="I72" s="472"/>
      <c r="J72" s="472"/>
      <c r="K72" s="472"/>
      <c r="L72" s="472">
        <v>0</v>
      </c>
      <c r="M72" s="438"/>
    </row>
    <row r="73" spans="1:13" ht="20.100000000000001" customHeight="1" x14ac:dyDescent="0.2">
      <c r="A73" s="410" t="str">
        <f t="shared" si="1"/>
        <v>174269-3-142</v>
      </c>
      <c r="B73" s="465">
        <v>174269</v>
      </c>
      <c r="C73" s="466">
        <v>3</v>
      </c>
      <c r="D73" s="467" t="s">
        <v>8</v>
      </c>
      <c r="E73" s="466">
        <v>142</v>
      </c>
      <c r="F73" s="468">
        <v>2742150.04</v>
      </c>
      <c r="G73" s="468">
        <v>2442397.2799999998</v>
      </c>
      <c r="H73" s="468">
        <v>510523.82</v>
      </c>
      <c r="I73" s="468">
        <v>1931873.46</v>
      </c>
      <c r="J73" s="468">
        <v>102595.94</v>
      </c>
      <c r="K73" s="468">
        <v>1829277.52</v>
      </c>
      <c r="L73" s="468">
        <v>299752.76</v>
      </c>
      <c r="M73" s="437"/>
    </row>
    <row r="74" spans="1:13" ht="20.100000000000001" customHeight="1" x14ac:dyDescent="0.2">
      <c r="A74" s="410" t="str">
        <f t="shared" si="1"/>
        <v>174270-3-142</v>
      </c>
      <c r="B74" s="469">
        <v>174270</v>
      </c>
      <c r="C74" s="470">
        <v>3</v>
      </c>
      <c r="D74" s="471" t="s">
        <v>8</v>
      </c>
      <c r="E74" s="470">
        <v>142</v>
      </c>
      <c r="F74" s="472">
        <v>1374727.26</v>
      </c>
      <c r="G74" s="472">
        <v>1219515.99</v>
      </c>
      <c r="H74" s="472">
        <v>1108262.18</v>
      </c>
      <c r="I74" s="472">
        <v>111253.81</v>
      </c>
      <c r="J74" s="472">
        <v>84844.75</v>
      </c>
      <c r="K74" s="472">
        <v>26409.06</v>
      </c>
      <c r="L74" s="472">
        <v>155211.26999999999</v>
      </c>
      <c r="M74" s="438"/>
    </row>
    <row r="75" spans="1:13" ht="20.100000000000001" customHeight="1" x14ac:dyDescent="0.2">
      <c r="A75" s="410" t="str">
        <f t="shared" si="1"/>
        <v>174271-3-142</v>
      </c>
      <c r="B75" s="465">
        <v>174271</v>
      </c>
      <c r="C75" s="466">
        <v>3</v>
      </c>
      <c r="D75" s="467" t="s">
        <v>8</v>
      </c>
      <c r="E75" s="466">
        <v>142</v>
      </c>
      <c r="F75" s="468">
        <v>318555.53000000003</v>
      </c>
      <c r="G75" s="468">
        <v>242273.99</v>
      </c>
      <c r="H75" s="468">
        <v>33959.31</v>
      </c>
      <c r="I75" s="468">
        <v>208314.68</v>
      </c>
      <c r="J75" s="468">
        <v>0</v>
      </c>
      <c r="K75" s="468">
        <v>208314.68</v>
      </c>
      <c r="L75" s="468">
        <v>76281.539999999994</v>
      </c>
      <c r="M75" s="437"/>
    </row>
    <row r="76" spans="1:13" ht="20.100000000000001" customHeight="1" x14ac:dyDescent="0.2">
      <c r="A76" s="410" t="str">
        <f t="shared" si="1"/>
        <v>174272-3-142</v>
      </c>
      <c r="B76" s="469">
        <v>174272</v>
      </c>
      <c r="C76" s="470">
        <v>3</v>
      </c>
      <c r="D76" s="471" t="s">
        <v>8</v>
      </c>
      <c r="E76" s="470">
        <v>142</v>
      </c>
      <c r="F76" s="472">
        <v>344339.52</v>
      </c>
      <c r="G76" s="472">
        <v>335801.92</v>
      </c>
      <c r="H76" s="472">
        <v>187313.99</v>
      </c>
      <c r="I76" s="472">
        <v>148487.93</v>
      </c>
      <c r="J76" s="472">
        <v>0</v>
      </c>
      <c r="K76" s="472">
        <v>148487.93</v>
      </c>
      <c r="L76" s="472">
        <v>8537.6</v>
      </c>
      <c r="M76" s="438"/>
    </row>
    <row r="77" spans="1:13" ht="20.100000000000001" customHeight="1" x14ac:dyDescent="0.2">
      <c r="A77" s="410" t="str">
        <f t="shared" si="1"/>
        <v>174273-3-142</v>
      </c>
      <c r="B77" s="465">
        <v>174273</v>
      </c>
      <c r="C77" s="466">
        <v>3</v>
      </c>
      <c r="D77" s="467" t="s">
        <v>8</v>
      </c>
      <c r="E77" s="466">
        <v>142</v>
      </c>
      <c r="F77" s="468">
        <v>1000000</v>
      </c>
      <c r="G77" s="468">
        <v>1000000</v>
      </c>
      <c r="H77" s="468">
        <v>1000000</v>
      </c>
      <c r="I77" s="468"/>
      <c r="J77" s="468"/>
      <c r="K77" s="468"/>
      <c r="L77" s="468">
        <v>0</v>
      </c>
      <c r="M77" s="437"/>
    </row>
    <row r="78" spans="1:13" ht="20.100000000000001" customHeight="1" x14ac:dyDescent="0.2">
      <c r="A78" s="410" t="str">
        <f t="shared" si="1"/>
        <v>195063-3-100</v>
      </c>
      <c r="B78" s="469">
        <v>195063</v>
      </c>
      <c r="C78" s="470">
        <v>3</v>
      </c>
      <c r="D78" s="471" t="s">
        <v>8</v>
      </c>
      <c r="E78" s="470">
        <v>100</v>
      </c>
      <c r="F78" s="472">
        <v>669734.44999999995</v>
      </c>
      <c r="G78" s="472">
        <v>652615.53</v>
      </c>
      <c r="H78" s="472">
        <v>1881.32</v>
      </c>
      <c r="I78" s="472">
        <v>650734.21</v>
      </c>
      <c r="J78" s="472">
        <v>0</v>
      </c>
      <c r="K78" s="472">
        <v>650734.21</v>
      </c>
      <c r="L78" s="472">
        <v>17118.919999999998</v>
      </c>
      <c r="M78" s="438"/>
    </row>
    <row r="79" spans="1:13" ht="20.100000000000001" customHeight="1" x14ac:dyDescent="0.2">
      <c r="A79" s="410" t="str">
        <f t="shared" si="1"/>
        <v>195065-3-100</v>
      </c>
      <c r="B79" s="465">
        <v>195065</v>
      </c>
      <c r="C79" s="466">
        <v>3</v>
      </c>
      <c r="D79" s="467" t="s">
        <v>8</v>
      </c>
      <c r="E79" s="466">
        <v>100</v>
      </c>
      <c r="F79" s="468">
        <v>77068.100000000006</v>
      </c>
      <c r="G79" s="468">
        <v>75890.850000000006</v>
      </c>
      <c r="H79" s="468">
        <v>1726.64</v>
      </c>
      <c r="I79" s="468">
        <v>74164.210000000006</v>
      </c>
      <c r="J79" s="468">
        <v>3323.61</v>
      </c>
      <c r="K79" s="468">
        <v>70840.600000000006</v>
      </c>
      <c r="L79" s="468">
        <v>1177.25</v>
      </c>
      <c r="M79" s="437"/>
    </row>
    <row r="80" spans="1:13" ht="20.100000000000001" customHeight="1" x14ac:dyDescent="0.2">
      <c r="A80" s="410" t="str">
        <f t="shared" si="1"/>
        <v>195067-3-100</v>
      </c>
      <c r="B80" s="469">
        <v>195067</v>
      </c>
      <c r="C80" s="470">
        <v>3</v>
      </c>
      <c r="D80" s="471" t="s">
        <v>8</v>
      </c>
      <c r="E80" s="470">
        <v>100</v>
      </c>
      <c r="F80" s="472">
        <v>7388368.7300000004</v>
      </c>
      <c r="G80" s="472">
        <v>7388368.7300000004</v>
      </c>
      <c r="H80" s="472">
        <v>0</v>
      </c>
      <c r="I80" s="472">
        <v>7388368.7300000004</v>
      </c>
      <c r="J80" s="472">
        <v>0</v>
      </c>
      <c r="K80" s="472">
        <v>7388368.7300000004</v>
      </c>
      <c r="L80" s="472">
        <v>0</v>
      </c>
      <c r="M80" s="438"/>
    </row>
    <row r="81" spans="1:13" ht="20.100000000000001" customHeight="1" x14ac:dyDescent="0.2">
      <c r="A81" s="410" t="str">
        <f t="shared" si="1"/>
        <v>204816-3-181</v>
      </c>
      <c r="B81" s="465">
        <v>204816</v>
      </c>
      <c r="C81" s="466">
        <v>3</v>
      </c>
      <c r="D81" s="467" t="s">
        <v>8</v>
      </c>
      <c r="E81" s="466">
        <v>181</v>
      </c>
      <c r="F81" s="468">
        <v>348113.09</v>
      </c>
      <c r="G81" s="468">
        <v>282516.95</v>
      </c>
      <c r="H81" s="468">
        <v>29495.41</v>
      </c>
      <c r="I81" s="468">
        <v>253021.54</v>
      </c>
      <c r="J81" s="468">
        <v>10561.03</v>
      </c>
      <c r="K81" s="468">
        <v>242460.51</v>
      </c>
      <c r="L81" s="468">
        <v>65596.14</v>
      </c>
      <c r="M81" s="437"/>
    </row>
    <row r="82" spans="1:13" ht="20.100000000000001" customHeight="1" x14ac:dyDescent="0.2">
      <c r="A82" s="410" t="str">
        <f t="shared" si="1"/>
        <v>204817-3-181</v>
      </c>
      <c r="B82" s="469">
        <v>204817</v>
      </c>
      <c r="C82" s="470">
        <v>3</v>
      </c>
      <c r="D82" s="471" t="s">
        <v>8</v>
      </c>
      <c r="E82" s="470">
        <v>181</v>
      </c>
      <c r="F82" s="472">
        <v>113548.63</v>
      </c>
      <c r="G82" s="472">
        <v>86347.9</v>
      </c>
      <c r="H82" s="472">
        <v>13006.13</v>
      </c>
      <c r="I82" s="472">
        <v>73341.77</v>
      </c>
      <c r="J82" s="472">
        <v>9875.73</v>
      </c>
      <c r="K82" s="472">
        <v>63466.04</v>
      </c>
      <c r="L82" s="472">
        <v>27200.73</v>
      </c>
      <c r="M82" s="438"/>
    </row>
    <row r="83" spans="1:13" ht="20.100000000000001" customHeight="1" x14ac:dyDescent="0.2">
      <c r="B83" s="477" t="s">
        <v>9</v>
      </c>
      <c r="C83" s="486"/>
      <c r="D83" s="486"/>
      <c r="E83" s="477"/>
      <c r="F83" s="473">
        <v>297645107.30000001</v>
      </c>
      <c r="G83" s="473">
        <v>288054306.63999999</v>
      </c>
      <c r="H83" s="473">
        <v>57897754.909999996</v>
      </c>
      <c r="I83" s="473">
        <v>230156551.72999999</v>
      </c>
      <c r="J83" s="473">
        <v>5823063.0700000003</v>
      </c>
      <c r="K83" s="473">
        <v>224333488.66</v>
      </c>
      <c r="L83" s="473">
        <v>10197422.609999999</v>
      </c>
      <c r="M83" s="436"/>
    </row>
    <row r="85" spans="1:13" ht="20.100000000000001" customHeight="1" x14ac:dyDescent="0.2">
      <c r="G85" s="458">
        <f>G83-'Execução Orçamentária'!R417</f>
        <v>0</v>
      </c>
      <c r="I85" s="458">
        <f>I83-'Execução Orçamentária'!S417</f>
        <v>0</v>
      </c>
      <c r="K85" s="458">
        <f>K83-'Execução Orçamentária'!T417</f>
        <v>0</v>
      </c>
    </row>
    <row r="88" spans="1:13" ht="20.100000000000001" customHeight="1" x14ac:dyDescent="0.2">
      <c r="I88" s="459"/>
    </row>
  </sheetData>
  <autoFilter ref="A4:M83">
    <filterColumn colId="2" showButton="0"/>
  </autoFilter>
  <mergeCells count="13">
    <mergeCell ref="C83:D83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F24" sqref="F2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3" t="s">
        <v>62</v>
      </c>
      <c r="C3" s="494"/>
      <c r="D3" s="493" t="s">
        <v>63</v>
      </c>
      <c r="E3" s="464" t="s">
        <v>123</v>
      </c>
      <c r="F3" s="460" t="s">
        <v>121</v>
      </c>
    </row>
    <row r="4" spans="1:9" ht="41.45" customHeight="1" x14ac:dyDescent="0.2">
      <c r="B4" s="493"/>
      <c r="C4" s="494"/>
      <c r="D4" s="493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6"/>
      <c r="D7" s="486"/>
      <c r="E7" s="476"/>
      <c r="F7" s="473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P91" sqref="P91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9"/>
      <c r="I1" s="499"/>
      <c r="J1" s="49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44757</v>
      </c>
      <c r="V4" s="379"/>
    </row>
    <row r="5" spans="1:33" s="10" customFormat="1" ht="15" customHeight="1" thickTop="1" x14ac:dyDescent="0.2">
      <c r="A5" s="91"/>
      <c r="B5" s="419"/>
      <c r="C5" s="500" t="s">
        <v>59</v>
      </c>
      <c r="D5" s="503" t="s">
        <v>0</v>
      </c>
      <c r="E5" s="500" t="s">
        <v>15</v>
      </c>
      <c r="F5" s="506" t="s">
        <v>16</v>
      </c>
      <c r="G5" s="500" t="s">
        <v>220</v>
      </c>
      <c r="H5" s="497" t="s">
        <v>347</v>
      </c>
      <c r="I5" s="497" t="s">
        <v>65</v>
      </c>
      <c r="J5" s="497" t="s">
        <v>345</v>
      </c>
      <c r="K5" s="497" t="s">
        <v>84</v>
      </c>
      <c r="L5" s="497" t="s">
        <v>346</v>
      </c>
      <c r="M5" s="497" t="s">
        <v>309</v>
      </c>
      <c r="N5" s="497" t="s">
        <v>301</v>
      </c>
      <c r="O5" s="497" t="s">
        <v>17</v>
      </c>
      <c r="P5" s="497" t="s">
        <v>18</v>
      </c>
      <c r="Q5" s="380"/>
      <c r="R5" s="497" t="s">
        <v>19</v>
      </c>
      <c r="S5" s="497" t="s">
        <v>20</v>
      </c>
      <c r="T5" s="497" t="s">
        <v>61</v>
      </c>
      <c r="U5" s="49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1"/>
      <c r="D6" s="504"/>
      <c r="E6" s="501"/>
      <c r="F6" s="507"/>
      <c r="G6" s="501"/>
      <c r="H6" s="498"/>
      <c r="I6" s="498"/>
      <c r="J6" s="498"/>
      <c r="K6" s="498"/>
      <c r="L6" s="498"/>
      <c r="M6" s="498"/>
      <c r="N6" s="498"/>
      <c r="O6" s="498"/>
      <c r="P6" s="498"/>
      <c r="Q6" s="380"/>
      <c r="R6" s="498"/>
      <c r="S6" s="498"/>
      <c r="T6" s="498"/>
      <c r="U6" s="49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1"/>
      <c r="D7" s="504"/>
      <c r="E7" s="501"/>
      <c r="F7" s="507"/>
      <c r="G7" s="501"/>
      <c r="H7" s="498"/>
      <c r="I7" s="498"/>
      <c r="J7" s="498"/>
      <c r="K7" s="498"/>
      <c r="L7" s="498"/>
      <c r="M7" s="498"/>
      <c r="N7" s="498"/>
      <c r="O7" s="498"/>
      <c r="P7" s="498"/>
      <c r="Q7" s="380"/>
      <c r="R7" s="498"/>
      <c r="S7" s="498"/>
      <c r="T7" s="498"/>
      <c r="U7" s="49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2"/>
      <c r="D8" s="505"/>
      <c r="E8" s="502"/>
      <c r="F8" s="508"/>
      <c r="G8" s="50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1602187.17</v>
      </c>
      <c r="P9" s="26">
        <f t="shared" si="0"/>
        <v>263227.83</v>
      </c>
      <c r="Q9" s="35">
        <f>SUM(Q11:Q12)</f>
        <v>0</v>
      </c>
      <c r="R9" s="26">
        <f t="shared" si="0"/>
        <v>1602187.17</v>
      </c>
      <c r="S9" s="26">
        <f t="shared" si="0"/>
        <v>1602142.9100000001</v>
      </c>
      <c r="T9" s="26">
        <f t="shared" si="0"/>
        <v>1602142.9100000001</v>
      </c>
      <c r="U9" s="156">
        <f>+IFERROR((R9/N9),0%)</f>
        <v>0.85889047209334113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1343247.55</v>
      </c>
      <c r="P11" s="31">
        <f t="shared" si="1"/>
        <v>221349.45</v>
      </c>
      <c r="Q11" s="23">
        <f t="shared" ref="Q11:T12" si="2">Q16+Q21+Q26</f>
        <v>0</v>
      </c>
      <c r="R11" s="31">
        <f t="shared" si="2"/>
        <v>1343247.55</v>
      </c>
      <c r="S11" s="31">
        <f t="shared" si="2"/>
        <v>1343247.55</v>
      </c>
      <c r="T11" s="31">
        <f t="shared" si="2"/>
        <v>1343247.55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258939.62</v>
      </c>
      <c r="P12" s="31">
        <f>P17+P22+P27</f>
        <v>41878.380000000005</v>
      </c>
      <c r="Q12" s="23">
        <f t="shared" si="2"/>
        <v>0</v>
      </c>
      <c r="R12" s="31">
        <f t="shared" si="2"/>
        <v>258939.62</v>
      </c>
      <c r="S12" s="31">
        <f t="shared" si="2"/>
        <v>258895.35999999999</v>
      </c>
      <c r="T12" s="31">
        <f t="shared" si="2"/>
        <v>258895.35999999999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1523536.62</v>
      </c>
      <c r="P20" s="228">
        <f t="shared" si="5"/>
        <v>31878.380000000005</v>
      </c>
      <c r="Q20" s="21">
        <f t="shared" si="5"/>
        <v>0</v>
      </c>
      <c r="R20" s="21">
        <f t="shared" si="5"/>
        <v>1523536.62</v>
      </c>
      <c r="S20" s="21">
        <f t="shared" si="5"/>
        <v>1523492.3599999999</v>
      </c>
      <c r="T20" s="21">
        <f t="shared" si="5"/>
        <v>1523492.3599999999</v>
      </c>
      <c r="U20" s="154">
        <f>+IFERROR((R20/N20),0%)</f>
        <v>0.97950490383595379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258939.62</v>
      </c>
      <c r="P22" s="231">
        <f>+N22-O22</f>
        <v>31878.380000000005</v>
      </c>
      <c r="Q22" s="32"/>
      <c r="R22" s="231">
        <f>IFERROR(VLOOKUP(G22,'Base Execução'!$A:$K,7,FALSE),0)</f>
        <v>258939.62</v>
      </c>
      <c r="S22" s="231">
        <f>IFERROR(VLOOKUP(G22,'Base Execução'!$A:$K,9,FALSE),0)</f>
        <v>258895.35999999999</v>
      </c>
      <c r="T22" s="32">
        <f>IFERROR(VLOOKUP(G22,'Base Execução'!$A:$K,11,FALSE),0)</f>
        <v>258895.35999999999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78650.55</v>
      </c>
      <c r="P25" s="228">
        <f t="shared" si="6"/>
        <v>231349.45</v>
      </c>
      <c r="Q25" s="21">
        <f t="shared" si="6"/>
        <v>0</v>
      </c>
      <c r="R25" s="21">
        <f t="shared" si="6"/>
        <v>78650.55</v>
      </c>
      <c r="S25" s="21">
        <f t="shared" si="6"/>
        <v>78650.55</v>
      </c>
      <c r="T25" s="21">
        <f t="shared" si="6"/>
        <v>78650.55</v>
      </c>
      <c r="U25" s="154">
        <f>+IFERROR((R25/N25),0%)</f>
        <v>0.25371145161290326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78650.55</v>
      </c>
      <c r="P26" s="231">
        <f>+N26-O26</f>
        <v>221349.45</v>
      </c>
      <c r="Q26" s="32"/>
      <c r="R26" s="231">
        <f>IFERROR(VLOOKUP(G26,'Base Execução'!$A:$K,7,FALSE),0)</f>
        <v>78650.55</v>
      </c>
      <c r="S26" s="231">
        <f>IFERROR(VLOOKUP(G26,'Base Execução'!$A:$K,9,FALSE),0)</f>
        <v>78650.55</v>
      </c>
      <c r="T26" s="32">
        <f>IFERROR(VLOOKUP(G26,'Base Execução'!$A:$K,11,FALSE),0)</f>
        <v>78650.55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161074.43</v>
      </c>
      <c r="P29" s="26">
        <f t="shared" si="7"/>
        <v>191793.57</v>
      </c>
      <c r="Q29" s="22">
        <f t="shared" si="7"/>
        <v>0</v>
      </c>
      <c r="R29" s="26">
        <f t="shared" si="7"/>
        <v>161074.43</v>
      </c>
      <c r="S29" s="26">
        <f t="shared" si="7"/>
        <v>161074.43</v>
      </c>
      <c r="T29" s="26">
        <f t="shared" si="7"/>
        <v>161074.43</v>
      </c>
      <c r="U29" s="156">
        <f>+IFERROR((R29/N29),0%)</f>
        <v>0.45647219356813312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161074.43</v>
      </c>
      <c r="P31" s="32">
        <f t="shared" si="8"/>
        <v>191793.57</v>
      </c>
      <c r="Q31" s="32">
        <f t="shared" si="8"/>
        <v>0</v>
      </c>
      <c r="R31" s="32">
        <f t="shared" si="8"/>
        <v>161074.43</v>
      </c>
      <c r="S31" s="32">
        <f t="shared" si="8"/>
        <v>161074.43</v>
      </c>
      <c r="T31" s="32">
        <f t="shared" si="8"/>
        <v>161074.43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161074.43</v>
      </c>
      <c r="P34" s="228">
        <f t="shared" si="9"/>
        <v>191793.57</v>
      </c>
      <c r="Q34" s="21">
        <f t="shared" si="9"/>
        <v>0</v>
      </c>
      <c r="R34" s="21">
        <f t="shared" si="9"/>
        <v>161074.43</v>
      </c>
      <c r="S34" s="21">
        <f t="shared" si="9"/>
        <v>161074.43</v>
      </c>
      <c r="T34" s="21">
        <f t="shared" si="9"/>
        <v>161074.43</v>
      </c>
      <c r="U34" s="154">
        <f>+IFERROR((R34/N34),0%)</f>
        <v>0.45647219356813312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161074.43</v>
      </c>
      <c r="P35" s="231">
        <f>+N35-O35</f>
        <v>191793.57</v>
      </c>
      <c r="Q35" s="32"/>
      <c r="R35" s="231">
        <f>IFERROR(VLOOKUP(G35,'Base Execução'!$A:$K,7,FALSE),0)</f>
        <v>161074.43</v>
      </c>
      <c r="S35" s="231">
        <f>IFERROR(VLOOKUP(G35,'Base Execução'!$A:$K,9,FALSE),0)</f>
        <v>161074.43</v>
      </c>
      <c r="T35" s="32">
        <f>IFERROR(VLOOKUP(G35,'Base Execução'!$A:$K,11,FALSE),0)</f>
        <v>161074.43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29989381.100000001</v>
      </c>
      <c r="P65" s="26">
        <f t="shared" si="20"/>
        <v>5010618.8999999994</v>
      </c>
      <c r="Q65" s="35">
        <f>SUM(Q69:Q72)</f>
        <v>0</v>
      </c>
      <c r="R65" s="26">
        <f t="shared" si="20"/>
        <v>28954551.75</v>
      </c>
      <c r="S65" s="26">
        <f t="shared" si="20"/>
        <v>12232606.57</v>
      </c>
      <c r="T65" s="26">
        <f t="shared" si="20"/>
        <v>11424954.950000001</v>
      </c>
      <c r="U65" s="156">
        <f>+IFERROR((R65/N65),0%)</f>
        <v>0.82727290714285717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2800000</v>
      </c>
      <c r="P67" s="32">
        <f t="shared" si="22"/>
        <v>2150000</v>
      </c>
      <c r="Q67" s="319"/>
      <c r="R67" s="32">
        <f t="shared" si="22"/>
        <v>2800000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27018833.210000001</v>
      </c>
      <c r="P69" s="231">
        <f t="shared" si="24"/>
        <v>2231166.7899999991</v>
      </c>
      <c r="Q69" s="32">
        <f t="shared" si="24"/>
        <v>0</v>
      </c>
      <c r="R69" s="32">
        <f t="shared" si="24"/>
        <v>26006673.859999999</v>
      </c>
      <c r="S69" s="32">
        <f t="shared" si="24"/>
        <v>12169266.68</v>
      </c>
      <c r="T69" s="32">
        <f t="shared" si="24"/>
        <v>11361615.060000001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170547.89</v>
      </c>
      <c r="P70" s="231">
        <f t="shared" si="25"/>
        <v>629452.11</v>
      </c>
      <c r="Q70" s="32">
        <f t="shared" si="25"/>
        <v>0</v>
      </c>
      <c r="R70" s="32">
        <f t="shared" si="25"/>
        <v>147877.89000000001</v>
      </c>
      <c r="S70" s="32">
        <f t="shared" si="25"/>
        <v>63339.89</v>
      </c>
      <c r="T70" s="32">
        <f t="shared" si="25"/>
        <v>63339.89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29989381.100000001</v>
      </c>
      <c r="P75" s="228">
        <f t="shared" si="28"/>
        <v>5010618.8999999994</v>
      </c>
      <c r="Q75" s="21">
        <f>SUM(Q78:Q81)</f>
        <v>0</v>
      </c>
      <c r="R75" s="21">
        <f>SUM(R76:R81)</f>
        <v>28954551.75</v>
      </c>
      <c r="S75" s="21">
        <f>SUM(S76:S81)</f>
        <v>12232606.57</v>
      </c>
      <c r="T75" s="21">
        <f>SUM(T76:T81)</f>
        <v>11424954.950000001</v>
      </c>
      <c r="U75" s="154">
        <f>+IFERROR((R75/N75),0%)</f>
        <v>0.82727290714285717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2800000</v>
      </c>
      <c r="P76" s="231">
        <f t="shared" ref="P76:P81" si="33">+N76-O76</f>
        <v>2150000</v>
      </c>
      <c r="Q76" s="21"/>
      <c r="R76" s="231">
        <f>IFERROR(VLOOKUP(G76,'Base Execução'!$A:$K,7,FALSE),0)</f>
        <v>2800000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27018833.210000001</v>
      </c>
      <c r="P78" s="231">
        <f t="shared" si="33"/>
        <v>2231166.7899999991</v>
      </c>
      <c r="Q78" s="320"/>
      <c r="R78" s="231">
        <f>IFERROR(VLOOKUP(G78,'Base Execução'!$A:$K,7,FALSE),0)</f>
        <v>26006673.859999999</v>
      </c>
      <c r="S78" s="231">
        <f>IFERROR(VLOOKUP(G78,'Base Execução'!$A:$K,9,FALSE),0)</f>
        <v>12169266.68</v>
      </c>
      <c r="T78" s="32">
        <f>IFERROR(VLOOKUP(G78,'Base Execução'!$A:$K,11,FALSE),0)</f>
        <v>11361615.060000001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170547.89</v>
      </c>
      <c r="P79" s="231">
        <f t="shared" si="33"/>
        <v>629452.11</v>
      </c>
      <c r="Q79" s="320"/>
      <c r="R79" s="231">
        <f>IFERROR(VLOOKUP(G79,'Base Execução'!$A:$K,7,FALSE),0)</f>
        <v>147877.89000000001</v>
      </c>
      <c r="S79" s="231">
        <f>IFERROR(VLOOKUP(G79,'Base Execução'!$A:$K,9,FALSE),0)</f>
        <v>63339.89</v>
      </c>
      <c r="T79" s="32">
        <f>IFERROR(VLOOKUP(G79,'Base Execução'!$A:$K,11,FALSE),0)</f>
        <v>63339.89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32609925.399999999</v>
      </c>
      <c r="P83" s="26">
        <f t="shared" si="34"/>
        <v>5784144.2999999989</v>
      </c>
      <c r="Q83" s="22">
        <f>Q85</f>
        <v>0</v>
      </c>
      <c r="R83" s="26">
        <f t="shared" si="34"/>
        <v>30906013.079999998</v>
      </c>
      <c r="S83" s="26">
        <f t="shared" si="34"/>
        <v>11802128.859999999</v>
      </c>
      <c r="T83" s="26">
        <f t="shared" si="34"/>
        <v>11549290.07</v>
      </c>
      <c r="U83" s="156">
        <f>+IFERROR((R83/N83),0%)</f>
        <v>1.1623561889460974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11804962.699999999</v>
      </c>
      <c r="P85" s="32">
        <f t="shared" si="35"/>
        <v>0</v>
      </c>
      <c r="Q85" s="32">
        <f t="shared" si="35"/>
        <v>0</v>
      </c>
      <c r="R85" s="32">
        <f t="shared" si="35"/>
        <v>11788358.380000001</v>
      </c>
      <c r="S85" s="32">
        <f t="shared" si="35"/>
        <v>4729411.8499999996</v>
      </c>
      <c r="T85" s="32">
        <f t="shared" si="35"/>
        <v>4508203.1100000003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20804962.699999999</v>
      </c>
      <c r="P86" s="32">
        <f t="shared" si="36"/>
        <v>5784144.2999999989</v>
      </c>
      <c r="Q86" s="32"/>
      <c r="R86" s="32">
        <f t="shared" si="36"/>
        <v>19117654.699999999</v>
      </c>
      <c r="S86" s="32">
        <f t="shared" si="36"/>
        <v>7072717.0099999998</v>
      </c>
      <c r="T86" s="32">
        <f t="shared" si="36"/>
        <v>7041086.96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32018614.240000002</v>
      </c>
      <c r="P89" s="21">
        <f t="shared" si="37"/>
        <v>5081832.879999999</v>
      </c>
      <c r="Q89" s="21">
        <f>Q90</f>
        <v>0</v>
      </c>
      <c r="R89" s="21">
        <f>SUM(R90:R91)</f>
        <v>30445852.920000002</v>
      </c>
      <c r="S89" s="21">
        <f>SUM(S90:S91)</f>
        <v>11514873.279999999</v>
      </c>
      <c r="T89" s="21">
        <f>SUM(T90:T91)</f>
        <v>11272961.67</v>
      </c>
      <c r="U89" s="154">
        <f>+IFERROR((R89/N89),0%)</f>
        <v>1.1897028784180776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11509307.119999999</v>
      </c>
      <c r="P90" s="231">
        <v>0</v>
      </c>
      <c r="Q90" s="32"/>
      <c r="R90" s="231">
        <f>IFERROR(VLOOKUP(G90,'Base Execução'!$A:$K,7,FALSE),0)</f>
        <v>11501102.800000001</v>
      </c>
      <c r="S90" s="231">
        <f>IFERROR(VLOOKUP(G90,'Base Execução'!$A:$K,9,FALSE),0)</f>
        <v>4469024.5199999996</v>
      </c>
      <c r="T90" s="32">
        <f>IFERROR(VLOOKUP(G90,'Base Execução'!$A:$K,11,FALSE),0)</f>
        <v>4258742.96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20509307.120000001</v>
      </c>
      <c r="P91" s="231">
        <f>+N91-O91</f>
        <v>5081832.879999999</v>
      </c>
      <c r="Q91" s="32"/>
      <c r="R91" s="231">
        <f>IFERROR(VLOOKUP(G91,'Base Execução'!$A:$K,7,FALSE),0)</f>
        <v>18944750.120000001</v>
      </c>
      <c r="S91" s="231">
        <f>IFERROR(VLOOKUP(G91,'Base Execução'!$A:$K,9,FALSE),0)</f>
        <v>7045848.7599999998</v>
      </c>
      <c r="T91" s="32">
        <f>IFERROR(VLOOKUP(G91,'Base Execução'!$A:$K,11,FALSE),0)</f>
        <v>7014218.71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591311.16</v>
      </c>
      <c r="P93" s="21">
        <f t="shared" si="38"/>
        <v>702311.41999999993</v>
      </c>
      <c r="Q93" s="21">
        <f t="shared" ref="K93:T93" si="39">Q94</f>
        <v>0</v>
      </c>
      <c r="R93" s="21">
        <f t="shared" ref="R93" si="40">SUM(R94:R95)</f>
        <v>460160.16000000003</v>
      </c>
      <c r="S93" s="21">
        <f t="shared" ref="S93" si="41">SUM(S94:S95)</f>
        <v>287255.57999999996</v>
      </c>
      <c r="T93" s="21">
        <f t="shared" ref="T93" si="42">SUM(T94:T95)</f>
        <v>276328.40000000002</v>
      </c>
      <c r="U93" s="154">
        <f>+IFERROR((R93/N93),0%)</f>
        <v>0.46109757136258017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295655.58</v>
      </c>
      <c r="P94" s="231">
        <v>0</v>
      </c>
      <c r="Q94" s="31"/>
      <c r="R94" s="231">
        <f>IFERROR(VLOOKUP(G94,'Base Execução'!$A:$K,7,FALSE),0)</f>
        <v>287255.58</v>
      </c>
      <c r="S94" s="231">
        <f>IFERROR(VLOOKUP(G94,'Base Execução'!$A:$K,9,FALSE),0)</f>
        <v>260387.33</v>
      </c>
      <c r="T94" s="32">
        <f>IFERROR(VLOOKUP(G94,'Base Execução'!$A:$K,11,FALSE),0)</f>
        <v>249460.15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295655.58</v>
      </c>
      <c r="P95" s="231">
        <f>+N95-O95</f>
        <v>702311.41999999993</v>
      </c>
      <c r="Q95" s="31"/>
      <c r="R95" s="231">
        <f>IFERROR(VLOOKUP(G95,'Base Execução'!$A:$K,7,FALSE),0)</f>
        <v>172904.58</v>
      </c>
      <c r="S95" s="231">
        <f>IFERROR(VLOOKUP(G95,'Base Execução'!$A:$K,9,FALSE),0)</f>
        <v>26868.25</v>
      </c>
      <c r="T95" s="32">
        <f>IFERROR(VLOOKUP(G95,'Base Execução'!$A:$K,11,FALSE),0)</f>
        <v>26868.25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247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8135171.2800000003</v>
      </c>
      <c r="P97" s="26">
        <f>SUM(P99:P101)</f>
        <v>11676245.719999999</v>
      </c>
      <c r="Q97" s="22">
        <f>Q99</f>
        <v>0</v>
      </c>
      <c r="R97" s="26">
        <f t="shared" si="43"/>
        <v>8116875.1100000003</v>
      </c>
      <c r="S97" s="26">
        <f t="shared" si="43"/>
        <v>8113267.1500000004</v>
      </c>
      <c r="T97" s="26">
        <f t="shared" si="43"/>
        <v>8109943.54</v>
      </c>
      <c r="U97" s="156">
        <f>+IFERROR((R97/N97),0%)</f>
        <v>0.40970694372845717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316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8135171.2800000003</v>
      </c>
      <c r="P99" s="32">
        <f>P105+P112+P119+P122</f>
        <v>11676245.719999999</v>
      </c>
      <c r="Q99" s="32">
        <f>Q105+Q112+Q119</f>
        <v>0</v>
      </c>
      <c r="R99" s="32">
        <f t="shared" si="44"/>
        <v>8116875.1100000003</v>
      </c>
      <c r="S99" s="32">
        <f t="shared" si="44"/>
        <v>8113267.1500000004</v>
      </c>
      <c r="T99" s="32">
        <f t="shared" si="44"/>
        <v>8109943.54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249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669734.44999999995</v>
      </c>
      <c r="P103" s="21">
        <f t="shared" si="47"/>
        <v>1279767.55</v>
      </c>
      <c r="Q103" s="31"/>
      <c r="R103" s="21">
        <f>R104+R107</f>
        <v>652615.53</v>
      </c>
      <c r="S103" s="21">
        <f>S104+S107</f>
        <v>650734.21</v>
      </c>
      <c r="T103" s="21">
        <f>T104+T107</f>
        <v>650734.21</v>
      </c>
      <c r="U103" s="154">
        <f>+IFERROR((R103/N103),0%)</f>
        <v>0.33476012335457977</v>
      </c>
    </row>
    <row r="104" spans="1:33" ht="15" customHeight="1" x14ac:dyDescent="0.2">
      <c r="A104" s="276"/>
      <c r="B104" s="38" t="s">
        <v>252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669734.44999999995</v>
      </c>
      <c r="P104" s="228">
        <f>P105+P106</f>
        <v>1279767.55</v>
      </c>
      <c r="Q104" s="21">
        <f>Q105</f>
        <v>0</v>
      </c>
      <c r="R104" s="21">
        <f>R105+R106</f>
        <v>652615.53</v>
      </c>
      <c r="S104" s="21">
        <f>S105+S106</f>
        <v>650734.21</v>
      </c>
      <c r="T104" s="21">
        <f>T105+T106</f>
        <v>650734.21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669734.44999999995</v>
      </c>
      <c r="P105" s="231">
        <f>+N105-O105</f>
        <v>1279767.55</v>
      </c>
      <c r="Q105" s="33"/>
      <c r="R105" s="231">
        <f>IFERROR(VLOOKUP(G105,'Base Execução'!$A:$K,7,FALSE),0)</f>
        <v>652615.53</v>
      </c>
      <c r="S105" s="231">
        <f>IFERROR(VLOOKUP(G105,'Base Execução'!$A:$K,9,FALSE),0)</f>
        <v>650734.21</v>
      </c>
      <c r="T105" s="32">
        <f>IFERROR(VLOOKUP(G105,'Base Execução'!$A:$K,11,FALSE),0)</f>
        <v>650734.21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304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250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77068.100000000006</v>
      </c>
      <c r="P110" s="21">
        <f t="shared" si="50"/>
        <v>156108.9</v>
      </c>
      <c r="Q110" s="33"/>
      <c r="R110" s="21">
        <f>R111+R114</f>
        <v>75890.850000000006</v>
      </c>
      <c r="S110" s="21">
        <f>S111+S114</f>
        <v>74164.210000000006</v>
      </c>
      <c r="T110" s="21">
        <f>T111+T114</f>
        <v>70840.600000000006</v>
      </c>
      <c r="U110" s="154">
        <f>+IFERROR((R110/N110),0%)</f>
        <v>0.32546456125604156</v>
      </c>
    </row>
    <row r="111" spans="1:33" ht="15" customHeight="1" x14ac:dyDescent="0.2">
      <c r="A111" s="276"/>
      <c r="B111" s="38" t="s">
        <v>253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77068.100000000006</v>
      </c>
      <c r="P111" s="228">
        <f>P112+P113</f>
        <v>156108.9</v>
      </c>
      <c r="Q111" s="21">
        <f t="shared" si="51"/>
        <v>0</v>
      </c>
      <c r="R111" s="21">
        <f>R112+R113</f>
        <v>75890.850000000006</v>
      </c>
      <c r="S111" s="21">
        <f>S112+S113</f>
        <v>74164.210000000006</v>
      </c>
      <c r="T111" s="21">
        <f>T112+T113</f>
        <v>70840.600000000006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77068.100000000006</v>
      </c>
      <c r="P112" s="231">
        <f>+N112-O112</f>
        <v>156108.9</v>
      </c>
      <c r="Q112" s="33"/>
      <c r="R112" s="231">
        <f>IFERROR(VLOOKUP(G112,'Base Execução'!$A:$K,7,FALSE),0)</f>
        <v>75890.850000000006</v>
      </c>
      <c r="S112" s="231">
        <f>IFERROR(VLOOKUP(G112,'Base Execução'!$A:$K,9,FALSE),0)</f>
        <v>74164.210000000006</v>
      </c>
      <c r="T112" s="32">
        <f>IFERROR(VLOOKUP(G112,'Base Execução'!$A:$K,11,FALSE),0)</f>
        <v>70840.600000000006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305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251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7388368.7300000004</v>
      </c>
      <c r="P117" s="21">
        <f t="shared" si="53"/>
        <v>10240369.27</v>
      </c>
      <c r="Q117" s="33"/>
      <c r="R117" s="21">
        <f>R118+R121</f>
        <v>7388368.7300000004</v>
      </c>
      <c r="S117" s="21">
        <f>S118+S121</f>
        <v>7388368.7300000004</v>
      </c>
      <c r="T117" s="21">
        <f>T118+T121</f>
        <v>7388368.7300000004</v>
      </c>
      <c r="U117" s="154">
        <f>+IFERROR((R117/N117),0%)</f>
        <v>0.41910933896686198</v>
      </c>
    </row>
    <row r="118" spans="1:33" ht="15" customHeight="1" x14ac:dyDescent="0.2">
      <c r="A118" s="276"/>
      <c r="B118" s="38" t="s">
        <v>254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7388368.7300000004</v>
      </c>
      <c r="P118" s="228">
        <f>P119+P120</f>
        <v>10240369.27</v>
      </c>
      <c r="Q118" s="21">
        <f t="shared" si="54"/>
        <v>0</v>
      </c>
      <c r="R118" s="21">
        <f>R119+R120</f>
        <v>7388368.7300000004</v>
      </c>
      <c r="S118" s="21">
        <f>S119+S120</f>
        <v>7388368.7300000004</v>
      </c>
      <c r="T118" s="21">
        <f>T119+T120</f>
        <v>7388368.7300000004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7388368.7300000004</v>
      </c>
      <c r="P119" s="231">
        <f>+N119-O119</f>
        <v>10240369.27</v>
      </c>
      <c r="Q119" s="33"/>
      <c r="R119" s="231">
        <f>IFERROR(VLOOKUP(G119,'Base Execução'!$A:$K,7,FALSE),0)</f>
        <v>7388368.7300000004</v>
      </c>
      <c r="S119" s="231">
        <f>IFERROR(VLOOKUP(G119,'Base Execução'!$A:$K,9,FALSE),0)</f>
        <v>7388368.7300000004</v>
      </c>
      <c r="T119" s="32">
        <f>IFERROR(VLOOKUP(G119,'Base Execução'!$A:$K,11,FALSE),0)</f>
        <v>7388368.7300000004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303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255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185184639.28999999</v>
      </c>
      <c r="P125" s="26">
        <f t="shared" si="56"/>
        <v>158478863.71000001</v>
      </c>
      <c r="Q125" s="22">
        <f>Q127</f>
        <v>0</v>
      </c>
      <c r="R125" s="26">
        <f t="shared" si="56"/>
        <v>182168567.44999999</v>
      </c>
      <c r="S125" s="26">
        <f t="shared" si="56"/>
        <v>177559969.56</v>
      </c>
      <c r="T125" s="26">
        <f t="shared" si="56"/>
        <v>174461542.72999999</v>
      </c>
      <c r="U125" s="156">
        <f>+IFERROR((R125/N125),0%)</f>
        <v>0.5300783058420957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317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185184639.28999999</v>
      </c>
      <c r="P127" s="32">
        <f t="shared" si="57"/>
        <v>158478863.71000001</v>
      </c>
      <c r="Q127" s="32">
        <f>Q133</f>
        <v>0</v>
      </c>
      <c r="R127" s="32">
        <f>R133+R136</f>
        <v>182168567.44999999</v>
      </c>
      <c r="S127" s="32">
        <f>S133+S136</f>
        <v>177559969.56</v>
      </c>
      <c r="T127" s="32">
        <f>T133+T136</f>
        <v>174461542.72999999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256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185184639.28999999</v>
      </c>
      <c r="P131" s="21">
        <f t="shared" si="60"/>
        <v>158478863.71000001</v>
      </c>
      <c r="Q131" s="21">
        <f t="shared" si="60"/>
        <v>0</v>
      </c>
      <c r="R131" s="21">
        <f>R132+R135</f>
        <v>182168567.44999999</v>
      </c>
      <c r="S131" s="21">
        <f>S132+S135</f>
        <v>177559969.56</v>
      </c>
      <c r="T131" s="21">
        <f>T132+T135</f>
        <v>174461542.72999999</v>
      </c>
      <c r="U131" s="155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185184639.28999999</v>
      </c>
      <c r="P132" s="21">
        <f t="shared" si="61"/>
        <v>158478863.71000001</v>
      </c>
      <c r="Q132" s="21">
        <f>Q133</f>
        <v>0</v>
      </c>
      <c r="R132" s="21">
        <f>R133+R134</f>
        <v>182168567.44999999</v>
      </c>
      <c r="S132" s="21">
        <f>S133+S134</f>
        <v>177559969.56</v>
      </c>
      <c r="T132" s="21">
        <f>T133+T134</f>
        <v>174461542.72999999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185184639.28999999</v>
      </c>
      <c r="P133" s="231">
        <f>+N133-O133</f>
        <v>158478863.71000001</v>
      </c>
      <c r="Q133" s="32"/>
      <c r="R133" s="231">
        <f>IFERROR(VLOOKUP(G133,'Base Execução'!$A:$K,7,FALSE),0)</f>
        <v>182168567.44999999</v>
      </c>
      <c r="S133" s="231">
        <f>IFERROR(VLOOKUP(G133,'Base Execução'!$A:$K,9,FALSE),0)</f>
        <v>177559969.56</v>
      </c>
      <c r="T133" s="32">
        <f>IFERROR(VLOOKUP(G133,'Base Execução'!$A:$K,11,FALSE),0)</f>
        <v>174461542.72999999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302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257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1032234.24</v>
      </c>
      <c r="P139" s="26">
        <f t="shared" si="63"/>
        <v>246933.76000000001</v>
      </c>
      <c r="Q139" s="22">
        <f t="shared" si="63"/>
        <v>0</v>
      </c>
      <c r="R139" s="26">
        <f t="shared" si="63"/>
        <v>698195.18</v>
      </c>
      <c r="S139" s="26">
        <f t="shared" si="63"/>
        <v>484080.68</v>
      </c>
      <c r="T139" s="26">
        <f t="shared" si="63"/>
        <v>434255.97</v>
      </c>
      <c r="U139" s="156">
        <f>+IFERROR((R139/N139),0%)</f>
        <v>0.54581976722369541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318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1032234.24</v>
      </c>
      <c r="P141" s="32">
        <f t="shared" si="64"/>
        <v>101933.76000000001</v>
      </c>
      <c r="Q141" s="32">
        <f t="shared" si="64"/>
        <v>0</v>
      </c>
      <c r="R141" s="32">
        <f t="shared" si="64"/>
        <v>698195.18</v>
      </c>
      <c r="S141" s="32">
        <f t="shared" si="64"/>
        <v>484080.68</v>
      </c>
      <c r="T141" s="32">
        <f t="shared" si="64"/>
        <v>434255.97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0</v>
      </c>
      <c r="P142" s="32">
        <f t="shared" si="65"/>
        <v>145000</v>
      </c>
      <c r="Q142" s="32">
        <f t="shared" si="65"/>
        <v>0</v>
      </c>
      <c r="R142" s="32">
        <f t="shared" si="65"/>
        <v>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258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1032234.24</v>
      </c>
      <c r="P145" s="228">
        <f t="shared" si="66"/>
        <v>246933.76000000001</v>
      </c>
      <c r="Q145" s="21">
        <f t="shared" si="66"/>
        <v>0</v>
      </c>
      <c r="R145" s="21">
        <f t="shared" si="66"/>
        <v>698195.18</v>
      </c>
      <c r="S145" s="21">
        <f t="shared" si="66"/>
        <v>484080.68</v>
      </c>
      <c r="T145" s="21">
        <f t="shared" si="66"/>
        <v>434255.97</v>
      </c>
      <c r="U145" s="154">
        <f>+IFERROR((R145/N145),0%)</f>
        <v>0.54581976722369541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1032234.24</v>
      </c>
      <c r="P146" s="231">
        <f>+N146-O146</f>
        <v>101933.76000000001</v>
      </c>
      <c r="Q146" s="32"/>
      <c r="R146" s="231">
        <f>IFERROR(VLOOKUP(G146,'Base Execução'!$A:$K,7,FALSE),0)</f>
        <v>698195.18</v>
      </c>
      <c r="S146" s="231">
        <f>IFERROR(VLOOKUP(G146,'Base Execução'!$A:$K,9,FALSE),0)</f>
        <v>484080.68</v>
      </c>
      <c r="T146" s="32">
        <f>IFERROR(VLOOKUP(G146,'Base Execução'!$A:$K,11,FALSE),0)</f>
        <v>434255.97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0</v>
      </c>
      <c r="P147" s="231">
        <f>+N147-O147</f>
        <v>145000</v>
      </c>
      <c r="Q147" s="32"/>
      <c r="R147" s="231">
        <f>IFERROR(VLOOKUP(G147,'Base Execução'!$A:$K,7,FALSE),0)</f>
        <v>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233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7053099.2800000003</v>
      </c>
      <c r="P149" s="230">
        <f t="shared" si="67"/>
        <v>9528111.7199999988</v>
      </c>
      <c r="Q149" s="35"/>
      <c r="R149" s="230">
        <f>+R151+R152</f>
        <v>6932112.1000000006</v>
      </c>
      <c r="S149" s="230">
        <f>+S151+S152</f>
        <v>734918.19</v>
      </c>
      <c r="T149" s="26">
        <f>+T151+T152</f>
        <v>678747.04</v>
      </c>
      <c r="U149" s="156">
        <f>+IFERROR((R149/N149),0%)</f>
        <v>0.4180703146471027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319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6771889.2200000007</v>
      </c>
      <c r="P151" s="32">
        <f t="shared" si="68"/>
        <v>9528110.7799999993</v>
      </c>
      <c r="Q151" s="32">
        <f t="shared" si="68"/>
        <v>0</v>
      </c>
      <c r="R151" s="32">
        <f t="shared" si="68"/>
        <v>6651163.1000000006</v>
      </c>
      <c r="S151" s="32">
        <f t="shared" si="68"/>
        <v>715926.19</v>
      </c>
      <c r="T151" s="32">
        <f t="shared" si="68"/>
        <v>678747.04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18992</v>
      </c>
      <c r="T152" s="32">
        <f t="shared" si="69"/>
        <v>0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234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688726.61</v>
      </c>
      <c r="P155" s="228">
        <f t="shared" si="70"/>
        <v>92484.390000000014</v>
      </c>
      <c r="Q155" s="21">
        <f t="shared" si="70"/>
        <v>0</v>
      </c>
      <c r="R155" s="21">
        <f t="shared" si="70"/>
        <v>666960.4</v>
      </c>
      <c r="S155" s="21">
        <f t="shared" si="70"/>
        <v>144976.53999999998</v>
      </c>
      <c r="T155" s="21">
        <f t="shared" si="70"/>
        <v>115546.79</v>
      </c>
      <c r="U155" s="154">
        <f>+IFERROR((R155/N155),0%)</f>
        <v>0.85375193129641036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407516.55</v>
      </c>
      <c r="P156" s="231">
        <f>+N156-O156</f>
        <v>92483.450000000012</v>
      </c>
      <c r="Q156" s="33"/>
      <c r="R156" s="231">
        <f>IFERROR(VLOOKUP(G156,'Base Execução'!$A:$K,7,FALSE),0)</f>
        <v>386011.4</v>
      </c>
      <c r="S156" s="231">
        <f>IFERROR(VLOOKUP(G156,'Base Execução'!$A:$K,9,FALSE),0)</f>
        <v>125984.54</v>
      </c>
      <c r="T156" s="32">
        <f>IFERROR(VLOOKUP(G156,'Base Execução'!$A:$K,11,FALSE),0)</f>
        <v>115546.79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18992</v>
      </c>
      <c r="T157" s="32">
        <f>IFERROR(VLOOKUP(G157,'Base Execução'!$A:$K,11,FALSE),0)</f>
        <v>0</v>
      </c>
      <c r="U157" s="298"/>
      <c r="V157" s="366"/>
    </row>
    <row r="158" spans="1:33" ht="15" customHeight="1" x14ac:dyDescent="0.2">
      <c r="A158" s="276"/>
      <c r="B158" s="424" t="s">
        <v>235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85011.48</v>
      </c>
      <c r="P159" s="228">
        <f t="shared" si="71"/>
        <v>114988.52</v>
      </c>
      <c r="Q159" s="21">
        <f t="shared" si="71"/>
        <v>0</v>
      </c>
      <c r="R159" s="21">
        <f t="shared" si="71"/>
        <v>85011.48</v>
      </c>
      <c r="S159" s="21">
        <f t="shared" si="71"/>
        <v>0</v>
      </c>
      <c r="T159" s="21">
        <f t="shared" si="71"/>
        <v>0</v>
      </c>
      <c r="U159" s="154">
        <f>+IFERROR((R159/N159),0%)</f>
        <v>0.42505739999999997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85011.48</v>
      </c>
      <c r="P160" s="231">
        <f>+N160-O160</f>
        <v>114988.52</v>
      </c>
      <c r="Q160" s="32"/>
      <c r="R160" s="231">
        <f>IFERROR(VLOOKUP(G160,'Base Execução'!$A:$K,7,FALSE),0)</f>
        <v>85011.48</v>
      </c>
      <c r="S160" s="231">
        <f>IFERROR(VLOOKUP(G160,'Base Execução'!$A:$K,9,FALSE),0)</f>
        <v>0</v>
      </c>
      <c r="T160" s="32">
        <f>IFERROR(VLOOKUP(G160,'Base Execução'!$A:$K,11,FALSE),0)</f>
        <v>0</v>
      </c>
      <c r="U160" s="155"/>
      <c r="V160" s="366"/>
    </row>
    <row r="161" spans="1:22" ht="15" customHeight="1" x14ac:dyDescent="0.2">
      <c r="A161" s="276"/>
      <c r="B161" s="424" t="s">
        <v>236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237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238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5731943.6900000004</v>
      </c>
      <c r="P168" s="228">
        <f t="shared" si="74"/>
        <v>9168056.3099999987</v>
      </c>
      <c r="Q168" s="21">
        <f t="shared" si="74"/>
        <v>0</v>
      </c>
      <c r="R168" s="21">
        <f t="shared" si="74"/>
        <v>5731943.6900000004</v>
      </c>
      <c r="S168" s="21">
        <f t="shared" si="74"/>
        <v>460159.26</v>
      </c>
      <c r="T168" s="21">
        <f t="shared" si="74"/>
        <v>437457.32</v>
      </c>
      <c r="U168" s="154">
        <f>+IFERROR((R168/N168),0%)</f>
        <v>0.38469420738255039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5731943.6900000004</v>
      </c>
      <c r="P169" s="231">
        <f>+N169-O169</f>
        <v>9168056.3099999987</v>
      </c>
      <c r="Q169" s="33"/>
      <c r="R169" s="231">
        <f>IFERROR(VLOOKUP(G169,'Base Execução'!$A:$K,7,FALSE),0)</f>
        <v>5731943.6900000004</v>
      </c>
      <c r="S169" s="231">
        <f>IFERROR(VLOOKUP(G169,'Base Execução'!$A:$K,9,FALSE),0)</f>
        <v>460159.26</v>
      </c>
      <c r="T169" s="32">
        <f>IFERROR(VLOOKUP(G169,'Base Execução'!$A:$K,11,FALSE),0)</f>
        <v>437457.32</v>
      </c>
      <c r="U169" s="280"/>
      <c r="V169" s="366"/>
    </row>
    <row r="170" spans="1:22" ht="15" customHeight="1" x14ac:dyDescent="0.2">
      <c r="A170" s="276"/>
      <c r="B170" s="424" t="s">
        <v>239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240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241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242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249370.51</v>
      </c>
      <c r="P180" s="228">
        <f t="shared" si="78"/>
        <v>150629.49</v>
      </c>
      <c r="Q180" s="21">
        <f t="shared" si="78"/>
        <v>0</v>
      </c>
      <c r="R180" s="21">
        <f t="shared" si="78"/>
        <v>150149.54</v>
      </c>
      <c r="S180" s="21">
        <f t="shared" si="78"/>
        <v>104295.23</v>
      </c>
      <c r="T180" s="21">
        <f t="shared" si="78"/>
        <v>100255.77</v>
      </c>
      <c r="U180" s="154">
        <f>+IFERROR((R180/N180),0%)</f>
        <v>0.37537385000000001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249370.51</v>
      </c>
      <c r="P181" s="231">
        <f>+N181-O181</f>
        <v>150629.49</v>
      </c>
      <c r="Q181" s="35"/>
      <c r="R181" s="231">
        <f>IFERROR(VLOOKUP(G181,'Base Execução'!$A:$K,7,FALSE),0)</f>
        <v>150149.54</v>
      </c>
      <c r="S181" s="231">
        <f>IFERROR(VLOOKUP(G181,'Base Execução'!$A:$K,9,FALSE),0)</f>
        <v>104295.23</v>
      </c>
      <c r="T181" s="32">
        <f>IFERROR(VLOOKUP(G181,'Base Execução'!$A:$K,11,FALSE),0)</f>
        <v>100255.77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259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1485165.52</v>
      </c>
      <c r="P183" s="26">
        <f t="shared" si="79"/>
        <v>2925759.4800000004</v>
      </c>
      <c r="Q183" s="35">
        <f>SUM(Q185:Q187)</f>
        <v>0</v>
      </c>
      <c r="R183" s="26">
        <f t="shared" si="79"/>
        <v>1286705.68</v>
      </c>
      <c r="S183" s="26">
        <f t="shared" si="79"/>
        <v>1072200.7</v>
      </c>
      <c r="T183" s="26">
        <f t="shared" si="79"/>
        <v>1043420.5800000001</v>
      </c>
      <c r="U183" s="156">
        <f>+IFERROR((R183/N183),0%)</f>
        <v>0.291708809376718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320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1045842.4299999999</v>
      </c>
      <c r="P185" s="32">
        <f t="shared" si="80"/>
        <v>1304157.57</v>
      </c>
      <c r="Q185" s="32">
        <f t="shared" si="80"/>
        <v>0</v>
      </c>
      <c r="R185" s="32">
        <f t="shared" si="80"/>
        <v>945292.84</v>
      </c>
      <c r="S185" s="32">
        <f t="shared" si="80"/>
        <v>819179.16</v>
      </c>
      <c r="T185" s="32">
        <f t="shared" si="80"/>
        <v>800960.07000000007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91210</v>
      </c>
      <c r="P186" s="32">
        <f t="shared" si="81"/>
        <v>1169715</v>
      </c>
      <c r="Q186" s="32">
        <f t="shared" ref="Q186" si="82">Q193</f>
        <v>0</v>
      </c>
      <c r="R186" s="32">
        <f t="shared" si="81"/>
        <v>58895.89</v>
      </c>
      <c r="S186" s="32">
        <f t="shared" si="81"/>
        <v>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348113.09</v>
      </c>
      <c r="P187" s="32">
        <f t="shared" si="83"/>
        <v>451886.91</v>
      </c>
      <c r="Q187" s="32">
        <f t="shared" ref="Q187" si="84">Q194</f>
        <v>0</v>
      </c>
      <c r="R187" s="32">
        <f t="shared" si="83"/>
        <v>282516.95</v>
      </c>
      <c r="S187" s="32">
        <f t="shared" si="83"/>
        <v>253021.54</v>
      </c>
      <c r="T187" s="32">
        <f t="shared" si="83"/>
        <v>242460.51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260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107219.37</v>
      </c>
      <c r="P191" s="21">
        <f t="shared" si="86"/>
        <v>92780.63</v>
      </c>
      <c r="Q191" s="21">
        <f>SUM(Q192:Q194)</f>
        <v>0</v>
      </c>
      <c r="R191" s="21">
        <f>SUM(R192:R195)</f>
        <v>106990</v>
      </c>
      <c r="S191" s="21">
        <f>SUM(S192:S195)</f>
        <v>97938.53</v>
      </c>
      <c r="T191" s="21">
        <f>SUM(T192:T195)</f>
        <v>97316.57</v>
      </c>
      <c r="U191" s="154">
        <f>+IFERROR((R191/N191),0%)</f>
        <v>0.53495000000000004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107219.37</v>
      </c>
      <c r="P192" s="231">
        <f>+N192-O192</f>
        <v>92780.63</v>
      </c>
      <c r="Q192" s="296"/>
      <c r="R192" s="231">
        <f>IFERROR(VLOOKUP(G192,'Base Execução'!$A:$K,7,FALSE),0)</f>
        <v>106990</v>
      </c>
      <c r="S192" s="231">
        <f>IFERROR(VLOOKUP(G192,'Base Execução'!$A:$K,9,FALSE),0)</f>
        <v>97938.53</v>
      </c>
      <c r="T192" s="32">
        <f>IFERROR(VLOOKUP(G192,'Base Execução'!$A:$K,11,FALSE),0)</f>
        <v>97316.57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261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823854.96</v>
      </c>
      <c r="P197" s="21">
        <f t="shared" si="87"/>
        <v>1432070.04</v>
      </c>
      <c r="Q197" s="21">
        <f t="shared" ref="Q197" si="88">Q198</f>
        <v>0</v>
      </c>
      <c r="R197" s="21">
        <f t="shared" ref="R197" si="89">SUM(R198:R199)</f>
        <v>734515.4</v>
      </c>
      <c r="S197" s="21">
        <f t="shared" ref="S197" si="90">SUM(S198:S199)</f>
        <v>601703.26</v>
      </c>
      <c r="T197" s="21">
        <f t="shared" ref="T197" si="91">SUM(T198:T199)</f>
        <v>586089.75</v>
      </c>
      <c r="U197" s="154">
        <f>+IFERROR((R197/N197),0%)</f>
        <v>0.32559389164090119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759050.96</v>
      </c>
      <c r="P198" s="231">
        <f>+N198-O198</f>
        <v>735949.04</v>
      </c>
      <c r="Q198" s="296"/>
      <c r="R198" s="231">
        <f>IFERROR(VLOOKUP(G198,'Base Execução'!$A:$K,7,FALSE),0)</f>
        <v>675619.51</v>
      </c>
      <c r="S198" s="231">
        <f>IFERROR(VLOOKUP(G198,'Base Execução'!$A:$K,9,FALSE),0)</f>
        <v>601703.26</v>
      </c>
      <c r="T198" s="32">
        <f>IFERROR(VLOOKUP(G198,'Base Execução'!$A:$K,11,FALSE),0)</f>
        <v>586089.75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64804</v>
      </c>
      <c r="P199" s="231">
        <f>+N199-O199</f>
        <v>696121</v>
      </c>
      <c r="Q199" s="296"/>
      <c r="R199" s="231">
        <f>IFERROR(VLOOKUP(G199,'Base Execução'!$A:$K,7,FALSE),0)</f>
        <v>58895.89</v>
      </c>
      <c r="S199" s="231">
        <f>IFERROR(VLOOKUP(G199,'Base Execução'!$A:$K,9,FALSE),0)</f>
        <v>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262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205978.1</v>
      </c>
      <c r="P201" s="21">
        <f t="shared" si="92"/>
        <v>949021.9</v>
      </c>
      <c r="Q201" s="21">
        <f t="shared" ref="Q201" si="93">Q202</f>
        <v>0</v>
      </c>
      <c r="R201" s="21">
        <f t="shared" ref="R201" si="94">SUM(R202:R203)</f>
        <v>162683.32999999999</v>
      </c>
      <c r="S201" s="21">
        <f t="shared" ref="S201" si="95">SUM(S202:S203)</f>
        <v>119537.37</v>
      </c>
      <c r="T201" s="21">
        <f t="shared" ref="T201" si="96">SUM(T202:T203)</f>
        <v>117553.75</v>
      </c>
      <c r="U201" s="154">
        <f>+IFERROR((R201/N201),0%)</f>
        <v>0.14085136796536796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179572.1</v>
      </c>
      <c r="P202" s="231">
        <f>+N202-O202</f>
        <v>475427.9</v>
      </c>
      <c r="Q202" s="33"/>
      <c r="R202" s="231">
        <f>IFERROR(VLOOKUP(G202,'Base Execução'!$A:$K,7,FALSE),0)</f>
        <v>162683.32999999999</v>
      </c>
      <c r="S202" s="231">
        <f>IFERROR(VLOOKUP(G202,'Base Execução'!$A:$K,9,FALSE),0)</f>
        <v>119537.37</v>
      </c>
      <c r="T202" s="32">
        <f>IFERROR(VLOOKUP(G202,'Base Execução'!$A:$K,11,FALSE),0)</f>
        <v>117553.75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26406</v>
      </c>
      <c r="P203" s="231">
        <f>+N203-O203</f>
        <v>473594</v>
      </c>
      <c r="Q203" s="33"/>
      <c r="R203" s="231">
        <f>IFERROR(VLOOKUP(G203,'Base Execução'!$A:$K,7,FALSE),0)</f>
        <v>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353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354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348113.09</v>
      </c>
      <c r="P205" s="228">
        <f t="shared" si="97"/>
        <v>451886.91</v>
      </c>
      <c r="Q205" s="21">
        <f t="shared" si="97"/>
        <v>0</v>
      </c>
      <c r="R205" s="21">
        <f t="shared" si="97"/>
        <v>282516.95</v>
      </c>
      <c r="S205" s="21">
        <f t="shared" si="97"/>
        <v>253021.54</v>
      </c>
      <c r="T205" s="32"/>
      <c r="U205" s="154">
        <f>+IFERROR((R205/N205),0%)</f>
        <v>0.35314618750000004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348113.09</v>
      </c>
      <c r="P206" s="231">
        <f>+N206-O206</f>
        <v>451886.91</v>
      </c>
      <c r="Q206" s="33"/>
      <c r="R206" s="231">
        <f>IFERROR(VLOOKUP(G206,'Base Execução'!$A:$K,7,FALSE),0)</f>
        <v>282516.95</v>
      </c>
      <c r="S206" s="231">
        <f>IFERROR(VLOOKUP(G206,'Base Execução'!$A:$K,9,FALSE),0)</f>
        <v>253021.54</v>
      </c>
      <c r="T206" s="32">
        <f>IFERROR(VLOOKUP(G206,'Base Execução'!$A:$K,11,FALSE),0)</f>
        <v>242460.51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263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2864173.9499999997</v>
      </c>
      <c r="P208" s="26">
        <f t="shared" si="98"/>
        <v>1535826.0500000003</v>
      </c>
      <c r="Q208" s="22">
        <f>Q210</f>
        <v>0</v>
      </c>
      <c r="R208" s="26">
        <f t="shared" si="98"/>
        <v>2707577.72</v>
      </c>
      <c r="S208" s="26">
        <f t="shared" si="98"/>
        <v>1704538.01</v>
      </c>
      <c r="T208" s="26">
        <f t="shared" si="98"/>
        <v>1455047.48</v>
      </c>
      <c r="U208" s="156">
        <f>+IFERROR((R208/N208),0%)</f>
        <v>0.61535857272727279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321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2048155.3299999998</v>
      </c>
      <c r="P210" s="31">
        <f t="shared" si="99"/>
        <v>1351844.6700000002</v>
      </c>
      <c r="Q210" s="31">
        <f t="shared" si="99"/>
        <v>0</v>
      </c>
      <c r="R210" s="31">
        <f t="shared" si="99"/>
        <v>1903598.7200000002</v>
      </c>
      <c r="S210" s="31">
        <f t="shared" si="99"/>
        <v>1241559.01</v>
      </c>
      <c r="T210" s="31">
        <f t="shared" si="99"/>
        <v>1193090.48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816018.62</v>
      </c>
      <c r="P211" s="31">
        <f t="shared" si="100"/>
        <v>183981.38</v>
      </c>
      <c r="Q211" s="31"/>
      <c r="R211" s="31">
        <f t="shared" si="100"/>
        <v>803979</v>
      </c>
      <c r="S211" s="31">
        <f t="shared" si="100"/>
        <v>462979</v>
      </c>
      <c r="T211" s="31">
        <f t="shared" si="100"/>
        <v>261957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265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1284459.5899999999</v>
      </c>
      <c r="P214" s="229">
        <f t="shared" si="101"/>
        <v>715540.41</v>
      </c>
      <c r="Q214" s="22">
        <f>Q215</f>
        <v>0</v>
      </c>
      <c r="R214" s="22">
        <f>R215+R216</f>
        <v>1251228.82</v>
      </c>
      <c r="S214" s="22">
        <f>S215+S216</f>
        <v>724525.71</v>
      </c>
      <c r="T214" s="22">
        <f>T215+T216</f>
        <v>514893.98</v>
      </c>
      <c r="U214" s="154">
        <f>+IFERROR((R214/N214),0%)</f>
        <v>0.62561441000000007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468440.97</v>
      </c>
      <c r="P215" s="232">
        <f>+N215-O215</f>
        <v>531559.03</v>
      </c>
      <c r="Q215" s="31"/>
      <c r="R215" s="231">
        <f>IFERROR(VLOOKUP(G215,'Base Execução'!$A:$K,7,FALSE),0)</f>
        <v>447249.82</v>
      </c>
      <c r="S215" s="231">
        <f>IFERROR(VLOOKUP(G215,'Base Execução'!$A:$K,9,FALSE),0)</f>
        <v>261546.71</v>
      </c>
      <c r="T215" s="32">
        <f>IFERROR(VLOOKUP(G215,'Base Execução'!$A:$K,11,FALSE),0)</f>
        <v>252936.98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816018.62</v>
      </c>
      <c r="P216" s="232">
        <f>+N216-O216</f>
        <v>183981.38</v>
      </c>
      <c r="Q216" s="31"/>
      <c r="R216" s="231">
        <f>IFERROR(VLOOKUP(G216,'Base Execução'!$A:$K,7,FALSE),0)</f>
        <v>803979</v>
      </c>
      <c r="S216" s="231">
        <f>IFERROR(VLOOKUP(G216,'Base Execução'!$A:$K,9,FALSE),0)</f>
        <v>462979</v>
      </c>
      <c r="T216" s="32">
        <f>IFERROR(VLOOKUP(G216,'Base Execução'!$A:$K,11,FALSE),0)</f>
        <v>261957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264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243311.97</v>
      </c>
      <c r="P218" s="229">
        <f t="shared" si="102"/>
        <v>6688.0299999999988</v>
      </c>
      <c r="Q218" s="22">
        <f t="shared" si="102"/>
        <v>0</v>
      </c>
      <c r="R218" s="22">
        <f t="shared" si="102"/>
        <v>240941.31</v>
      </c>
      <c r="S218" s="22">
        <f t="shared" si="102"/>
        <v>10640.91</v>
      </c>
      <c r="T218" s="22">
        <f t="shared" si="102"/>
        <v>7715.33</v>
      </c>
      <c r="U218" s="154">
        <f>+IFERROR((R218/N218),0%)</f>
        <v>0.96376523999999997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243311.97</v>
      </c>
      <c r="P219" s="232">
        <f>+N219-O219</f>
        <v>6688.0299999999988</v>
      </c>
      <c r="Q219" s="31"/>
      <c r="R219" s="231">
        <f>IFERROR(VLOOKUP(G219,'Base Execução'!$A:$K,7,FALSE),0)</f>
        <v>240941.31</v>
      </c>
      <c r="S219" s="231">
        <f>IFERROR(VLOOKUP(G219,'Base Execução'!$A:$K,9,FALSE),0)</f>
        <v>10640.91</v>
      </c>
      <c r="T219" s="32">
        <f>IFERROR(VLOOKUP(G219,'Base Execução'!$A:$K,11,FALSE),0)</f>
        <v>7715.33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266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1336402.3899999999</v>
      </c>
      <c r="P221" s="229">
        <f t="shared" si="103"/>
        <v>813597.6100000001</v>
      </c>
      <c r="Q221" s="22">
        <f t="shared" si="103"/>
        <v>0</v>
      </c>
      <c r="R221" s="22">
        <f t="shared" si="103"/>
        <v>1215407.5900000001</v>
      </c>
      <c r="S221" s="22">
        <f t="shared" si="103"/>
        <v>969371.39</v>
      </c>
      <c r="T221" s="22">
        <f t="shared" si="103"/>
        <v>932438.17</v>
      </c>
      <c r="U221" s="154">
        <f>+IFERROR((R221/N221),0%)</f>
        <v>0.56530585581395354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1336402.3899999999</v>
      </c>
      <c r="P222" s="232">
        <f>+N222-O222</f>
        <v>813597.6100000001</v>
      </c>
      <c r="Q222" s="31"/>
      <c r="R222" s="231">
        <f>IFERROR(VLOOKUP(G222,'Base Execução'!$A:$K,7,FALSE),0)</f>
        <v>1215407.5900000001</v>
      </c>
      <c r="S222" s="231">
        <f>IFERROR(VLOOKUP(G222,'Base Execução'!$A:$K,9,FALSE),0)</f>
        <v>969371.39</v>
      </c>
      <c r="T222" s="32">
        <f>IFERROR(VLOOKUP(G222,'Base Execução'!$A:$K,11,FALSE),0)</f>
        <v>932438.17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267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1107949.4100000001</v>
      </c>
      <c r="P224" s="21">
        <f t="shared" si="104"/>
        <v>1538605.5899999999</v>
      </c>
      <c r="Q224" s="22">
        <f t="shared" si="104"/>
        <v>0</v>
      </c>
      <c r="R224" s="21">
        <f t="shared" si="104"/>
        <v>1106066.1800000002</v>
      </c>
      <c r="S224" s="21">
        <f t="shared" si="104"/>
        <v>797571.33000000007</v>
      </c>
      <c r="T224" s="21">
        <f t="shared" si="104"/>
        <v>775532.3600000001</v>
      </c>
      <c r="U224" s="156">
        <f>+IFERROR((R224/N224),0%)</f>
        <v>0.41792676895057923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322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895233.41</v>
      </c>
      <c r="P227" s="32">
        <f t="shared" si="106"/>
        <v>1304766.5899999999</v>
      </c>
      <c r="Q227" s="32">
        <f t="shared" si="106"/>
        <v>0</v>
      </c>
      <c r="R227" s="32">
        <f t="shared" si="106"/>
        <v>893350.18</v>
      </c>
      <c r="S227" s="32">
        <f t="shared" si="106"/>
        <v>797571.33000000007</v>
      </c>
      <c r="T227" s="32">
        <f t="shared" si="106"/>
        <v>775532.3600000001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0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268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127923.14</v>
      </c>
      <c r="P233" s="228">
        <f t="shared" si="110"/>
        <v>72076.86</v>
      </c>
      <c r="Q233" s="21">
        <f t="shared" si="110"/>
        <v>0</v>
      </c>
      <c r="R233" s="21">
        <f t="shared" si="110"/>
        <v>126039.91</v>
      </c>
      <c r="S233" s="21">
        <f t="shared" si="110"/>
        <v>122292.31</v>
      </c>
      <c r="T233" s="21">
        <f t="shared" si="110"/>
        <v>122292.31</v>
      </c>
      <c r="U233" s="154">
        <f>+IFERROR((R233/N233),0%)</f>
        <v>0.63019955000000005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127923.14</v>
      </c>
      <c r="P234" s="231">
        <f>+N234-O234</f>
        <v>72076.86</v>
      </c>
      <c r="Q234" s="32"/>
      <c r="R234" s="231">
        <f>IFERROR(VLOOKUP(G234,'Base Execução'!$A:$K,7,FALSE),0)</f>
        <v>126039.91</v>
      </c>
      <c r="S234" s="231">
        <f>IFERROR(VLOOKUP(G234,'Base Execução'!$A:$K,9,FALSE),0)</f>
        <v>122292.31</v>
      </c>
      <c r="T234" s="32">
        <f>IFERROR(VLOOKUP(G234,'Base Execução'!$A:$K,11,FALSE),0)</f>
        <v>122292.31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269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980026.27</v>
      </c>
      <c r="P236" s="21">
        <f>SUM(P237:P240)</f>
        <v>1045528.73</v>
      </c>
      <c r="Q236" s="21">
        <f>SUM(Q237:Q239)</f>
        <v>0</v>
      </c>
      <c r="R236" s="21">
        <f>SUM(R237:R240)</f>
        <v>980026.27</v>
      </c>
      <c r="S236" s="21">
        <f>SUM(S237:S240)</f>
        <v>675279.02</v>
      </c>
      <c r="T236" s="21">
        <f>SUM(T237:T240)</f>
        <v>653240.05000000005</v>
      </c>
      <c r="U236" s="154">
        <f>+IFERROR((R236/N236),0%)</f>
        <v>0.48383098459434576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767310.27</v>
      </c>
      <c r="P238" s="231">
        <f>+N238-O238</f>
        <v>811689.73</v>
      </c>
      <c r="Q238" s="33"/>
      <c r="R238" s="231">
        <f>IFERROR(VLOOKUP(G238,'Base Execução'!$A:$K,7,FALSE),0)</f>
        <v>767310.27</v>
      </c>
      <c r="S238" s="231">
        <f>IFERROR(VLOOKUP(G238,'Base Execução'!$A:$K,9,FALSE),0)</f>
        <v>675279.02</v>
      </c>
      <c r="T238" s="32">
        <f>IFERROR(VLOOKUP(G238,'Base Execução'!$A:$K,11,FALSE),0)</f>
        <v>653240.05000000005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306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270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0</v>
      </c>
      <c r="P244" s="21">
        <f t="shared" si="113"/>
        <v>421000</v>
      </c>
      <c r="Q244" s="21">
        <f t="shared" si="113"/>
        <v>0</v>
      </c>
      <c r="R244" s="21">
        <f t="shared" si="113"/>
        <v>0</v>
      </c>
      <c r="S244" s="21">
        <f t="shared" si="113"/>
        <v>0</v>
      </c>
      <c r="T244" s="21">
        <f t="shared" si="113"/>
        <v>0</v>
      </c>
      <c r="U244" s="154">
        <f>+IFERROR((R244/N244),0%)</f>
        <v>0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0</v>
      </c>
      <c r="P245" s="231">
        <f>+N245-O245</f>
        <v>421000</v>
      </c>
      <c r="Q245" s="32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271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323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272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6076506.6800000006</v>
      </c>
      <c r="P257" s="21">
        <f t="shared" si="117"/>
        <v>2745344.3200000003</v>
      </c>
      <c r="Q257" s="22">
        <f t="shared" si="117"/>
        <v>0</v>
      </c>
      <c r="R257" s="21">
        <f t="shared" si="117"/>
        <v>5534671.6500000004</v>
      </c>
      <c r="S257" s="21">
        <f t="shared" si="117"/>
        <v>3416746.1</v>
      </c>
      <c r="T257" s="21">
        <f t="shared" si="117"/>
        <v>3268543.27</v>
      </c>
      <c r="U257" s="156">
        <f>+IFERROR((R257/N257),0%)</f>
        <v>0.62738212762831747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324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5751163.2400000002</v>
      </c>
      <c r="P259" s="32">
        <f t="shared" si="118"/>
        <v>2070687.76</v>
      </c>
      <c r="Q259" s="32">
        <f t="shared" ref="Q259" si="119">Q265+Q269+Q273+Q276</f>
        <v>0</v>
      </c>
      <c r="R259" s="32">
        <f t="shared" si="118"/>
        <v>5209328.21</v>
      </c>
      <c r="S259" s="32">
        <f t="shared" si="118"/>
        <v>3160280.1</v>
      </c>
      <c r="T259" s="32">
        <f t="shared" si="118"/>
        <v>3048063.27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325343.44</v>
      </c>
      <c r="P260" s="32">
        <f t="shared" si="120"/>
        <v>674656.56</v>
      </c>
      <c r="Q260" s="32">
        <f t="shared" si="120"/>
        <v>0</v>
      </c>
      <c r="R260" s="32">
        <f t="shared" si="120"/>
        <v>325343.44</v>
      </c>
      <c r="S260" s="32">
        <f t="shared" si="120"/>
        <v>256466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273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0</v>
      </c>
      <c r="L264" s="22">
        <f t="shared" si="122"/>
        <v>2999999</v>
      </c>
      <c r="M264" s="22">
        <f t="shared" si="122"/>
        <v>0</v>
      </c>
      <c r="N264" s="22">
        <f t="shared" si="122"/>
        <v>2999999</v>
      </c>
      <c r="O264" s="22">
        <f t="shared" si="122"/>
        <v>1990017.1199999999</v>
      </c>
      <c r="P264" s="22">
        <f t="shared" si="122"/>
        <v>1009981.8800000001</v>
      </c>
      <c r="Q264" s="22">
        <f t="shared" si="122"/>
        <v>0</v>
      </c>
      <c r="R264" s="22">
        <f t="shared" si="122"/>
        <v>1756472.45</v>
      </c>
      <c r="S264" s="22">
        <f t="shared" si="122"/>
        <v>1336384.71</v>
      </c>
      <c r="T264" s="22">
        <f t="shared" si="122"/>
        <v>1290777.82</v>
      </c>
      <c r="U264" s="154">
        <f>+IFERROR((R264/N264),0%)</f>
        <v>0.58549101183033725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0</v>
      </c>
      <c r="L265" s="32">
        <f>IFERROR(VLOOKUP(G265,'Base Zero'!$A:$L,10,FALSE),0)</f>
        <v>1999999</v>
      </c>
      <c r="M265" s="32">
        <f>+L265-N265</f>
        <v>0</v>
      </c>
      <c r="N265" s="32">
        <f>IFERROR(VLOOKUP(G265,'Base Zero'!$A:$P,16,FALSE),0)</f>
        <v>1999999</v>
      </c>
      <c r="O265" s="32">
        <f>IFERROR(VLOOKUP(G265,'Base Execução'!A:M,6,FALSE),0)+IFERROR(VLOOKUP(G265,'Destaque Liberado pela CPRM'!A:F,6,FALSE),0)</f>
        <v>1664673.68</v>
      </c>
      <c r="P265" s="231">
        <f>+N265-O265</f>
        <v>335325.32000000007</v>
      </c>
      <c r="Q265" s="32"/>
      <c r="R265" s="231">
        <f>IFERROR(VLOOKUP(G265,'Base Execução'!$A:$K,7,FALSE),0)</f>
        <v>1431129.01</v>
      </c>
      <c r="S265" s="231">
        <f>IFERROR(VLOOKUP(G265,'Base Execução'!$A:$K,9,FALSE),0)</f>
        <v>1079918.71</v>
      </c>
      <c r="T265" s="32">
        <f>IFERROR(VLOOKUP(G265,'Base Execução'!$A:$K,11,FALSE),0)</f>
        <v>1070297.82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325343.44</v>
      </c>
      <c r="P266" s="231">
        <f>+N266-O266</f>
        <v>674656.56</v>
      </c>
      <c r="Q266" s="33"/>
      <c r="R266" s="231">
        <f>IFERROR(VLOOKUP(G266,'Base Execução'!$A:$K,7,FALSE),0)</f>
        <v>325343.44</v>
      </c>
      <c r="S266" s="231">
        <f>IFERROR(VLOOKUP(G266,'Base Execução'!$A:$K,9,FALSE),0)</f>
        <v>256466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274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-589074</v>
      </c>
      <c r="L268" s="22">
        <f t="shared" si="123"/>
        <v>4410926</v>
      </c>
      <c r="M268" s="22">
        <f t="shared" si="123"/>
        <v>0</v>
      </c>
      <c r="N268" s="22">
        <f t="shared" si="123"/>
        <v>4410926</v>
      </c>
      <c r="O268" s="22">
        <f t="shared" si="123"/>
        <v>2742150.04</v>
      </c>
      <c r="P268" s="229">
        <f t="shared" si="123"/>
        <v>1668775.96</v>
      </c>
      <c r="Q268" s="22">
        <f t="shared" si="123"/>
        <v>0</v>
      </c>
      <c r="R268" s="22">
        <f t="shared" si="123"/>
        <v>2442397.2799999998</v>
      </c>
      <c r="S268" s="22">
        <f t="shared" si="123"/>
        <v>1931873.46</v>
      </c>
      <c r="T268" s="22">
        <f t="shared" si="123"/>
        <v>1829277.52</v>
      </c>
      <c r="U268" s="154">
        <f>+IFERROR((R268/N268),0%)</f>
        <v>0.55371531510617045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-589074</v>
      </c>
      <c r="L269" s="32">
        <f>IFERROR(VLOOKUP(G269,'Base Zero'!$A:$L,10,FALSE),0)</f>
        <v>4410926</v>
      </c>
      <c r="M269" s="32">
        <f>+L269-N269</f>
        <v>0</v>
      </c>
      <c r="N269" s="32">
        <f>IFERROR(VLOOKUP(G269,'Base Zero'!$A:$P,16,FALSE),0)</f>
        <v>4410926</v>
      </c>
      <c r="O269" s="32">
        <f>IFERROR(VLOOKUP(G269,'Base Execução'!A:M,6,FALSE),0)+IFERROR(VLOOKUP(G269,'Destaque Liberado pela CPRM'!A:F,6,FALSE),0)</f>
        <v>2742150.04</v>
      </c>
      <c r="P269" s="231">
        <f>+N269-O269</f>
        <v>1668775.96</v>
      </c>
      <c r="Q269" s="32"/>
      <c r="R269" s="231">
        <f>IFERROR(VLOOKUP(G269,'Base Execução'!$A:$K,7,FALSE),0)</f>
        <v>2442397.2799999998</v>
      </c>
      <c r="S269" s="231">
        <f>IFERROR(VLOOKUP(G269,'Base Execução'!$A:$K,9,FALSE),0)</f>
        <v>1931873.46</v>
      </c>
      <c r="T269" s="32">
        <f>IFERROR(VLOOKUP(G269,'Base Execução'!$A:$K,11,FALSE),0)</f>
        <v>1829277.52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275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344339.52</v>
      </c>
      <c r="P272" s="229">
        <f t="shared" si="124"/>
        <v>66585.479999999981</v>
      </c>
      <c r="Q272" s="22">
        <f t="shared" si="124"/>
        <v>0</v>
      </c>
      <c r="R272" s="22">
        <f t="shared" si="124"/>
        <v>335801.92</v>
      </c>
      <c r="S272" s="22">
        <f t="shared" si="124"/>
        <v>148487.93</v>
      </c>
      <c r="T272" s="22">
        <f t="shared" si="124"/>
        <v>148487.93</v>
      </c>
      <c r="U272" s="154">
        <f>+IFERROR((R272/N272),0%)</f>
        <v>0.81718542313074161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344339.52</v>
      </c>
      <c r="P273" s="231">
        <f>+N273-O273</f>
        <v>66585.479999999981</v>
      </c>
      <c r="Q273" s="32"/>
      <c r="R273" s="231">
        <f>IFERROR(VLOOKUP(G273,'Base Execução'!$A:$K,7,FALSE),0)</f>
        <v>335801.92</v>
      </c>
      <c r="S273" s="231">
        <f>IFERROR(VLOOKUP(G273,'Base Execução'!$A:$K,9,FALSE),0)</f>
        <v>148487.93</v>
      </c>
      <c r="T273" s="32">
        <f>IFERROR(VLOOKUP(G273,'Base Execução'!$A:$K,11,FALSE),0)</f>
        <v>148487.93</v>
      </c>
      <c r="U273" s="155"/>
    </row>
    <row r="274" spans="1:33" ht="24.95" customHeight="1" x14ac:dyDescent="0.2">
      <c r="A274" s="272"/>
      <c r="B274" s="424" t="s">
        <v>276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355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356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277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340868.12</v>
      </c>
      <c r="P281" s="21">
        <f t="shared" si="127"/>
        <v>982408.88</v>
      </c>
      <c r="Q281" s="22">
        <f t="shared" si="127"/>
        <v>0</v>
      </c>
      <c r="R281" s="21">
        <f t="shared" si="127"/>
        <v>288404.63</v>
      </c>
      <c r="S281" s="21">
        <f t="shared" si="127"/>
        <v>231493.75</v>
      </c>
      <c r="T281" s="21">
        <f t="shared" si="127"/>
        <v>202641.4</v>
      </c>
      <c r="U281" s="156">
        <f>+IFERROR((R281/N281),0%)</f>
        <v>0.2179472854134093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325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299997.12</v>
      </c>
      <c r="P283" s="32">
        <f t="shared" si="128"/>
        <v>131911.88</v>
      </c>
      <c r="Q283" s="32">
        <f t="shared" si="128"/>
        <v>0</v>
      </c>
      <c r="R283" s="32">
        <f t="shared" si="128"/>
        <v>247533.63</v>
      </c>
      <c r="S283" s="32">
        <f t="shared" si="128"/>
        <v>213500.75</v>
      </c>
      <c r="T283" s="32">
        <f t="shared" si="128"/>
        <v>202641.4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40871</v>
      </c>
      <c r="P284" s="32">
        <f t="shared" si="129"/>
        <v>850497</v>
      </c>
      <c r="Q284" s="32">
        <f t="shared" si="129"/>
        <v>0</v>
      </c>
      <c r="R284" s="32">
        <f t="shared" si="129"/>
        <v>40871</v>
      </c>
      <c r="S284" s="32">
        <f t="shared" si="129"/>
        <v>17993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278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340868.12</v>
      </c>
      <c r="P287" s="22">
        <f t="shared" si="130"/>
        <v>982408.88</v>
      </c>
      <c r="Q287" s="22">
        <f t="shared" si="130"/>
        <v>0</v>
      </c>
      <c r="R287" s="22">
        <f t="shared" si="130"/>
        <v>288404.63</v>
      </c>
      <c r="S287" s="22">
        <f t="shared" si="130"/>
        <v>231493.75</v>
      </c>
      <c r="T287" s="22">
        <f t="shared" si="130"/>
        <v>202641.4</v>
      </c>
      <c r="U287" s="154">
        <f>+IFERROR((R287/N287),0%)</f>
        <v>0.2179472854134093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299997.12</v>
      </c>
      <c r="P288" s="231">
        <f>+N288-O288</f>
        <v>131911.88</v>
      </c>
      <c r="Q288" s="32"/>
      <c r="R288" s="231">
        <f>IFERROR(VLOOKUP(G288,'Base Execução'!$A:$K,7,FALSE),0)</f>
        <v>247533.63</v>
      </c>
      <c r="S288" s="231">
        <f>IFERROR(VLOOKUP(G288,'Base Execução'!$A:$K,9,FALSE),0)</f>
        <v>213500.75</v>
      </c>
      <c r="T288" s="32">
        <f>IFERROR(VLOOKUP(G288,'Base Execução'!$A:$K,11,FALSE),0)</f>
        <v>202641.4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40871</v>
      </c>
      <c r="P289" s="231">
        <f>+N289-O289</f>
        <v>850497</v>
      </c>
      <c r="Q289" s="33"/>
      <c r="R289" s="231">
        <f>IFERROR(VLOOKUP(G289,'Base Execução'!$A:$K,7,FALSE),0)</f>
        <v>40871</v>
      </c>
      <c r="S289" s="231">
        <f>IFERROR(VLOOKUP(G289,'Base Execução'!$A:$K,9,FALSE),0)</f>
        <v>17993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279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0</v>
      </c>
      <c r="N291" s="21">
        <f t="shared" si="131"/>
        <v>6816389</v>
      </c>
      <c r="O291" s="21">
        <f t="shared" si="131"/>
        <v>2624271.4300000002</v>
      </c>
      <c r="P291" s="21">
        <f t="shared" si="131"/>
        <v>4192117.5700000003</v>
      </c>
      <c r="Q291" s="22">
        <f>SUM(Q293:Q295)</f>
        <v>0</v>
      </c>
      <c r="R291" s="21">
        <f t="shared" si="131"/>
        <v>1965798.9999999998</v>
      </c>
      <c r="S291" s="21">
        <f t="shared" si="131"/>
        <v>1468120.59</v>
      </c>
      <c r="T291" s="21">
        <f t="shared" si="131"/>
        <v>1426295.09</v>
      </c>
      <c r="U291" s="156">
        <f>+IFERROR((R291/N291),0%)</f>
        <v>0.28839301864961048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326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2250940.5500000003</v>
      </c>
      <c r="P293" s="32">
        <f t="shared" si="132"/>
        <v>2549059.4500000002</v>
      </c>
      <c r="Q293" s="32">
        <f t="shared" si="132"/>
        <v>0</v>
      </c>
      <c r="R293" s="32">
        <f t="shared" si="132"/>
        <v>1619668.8499999999</v>
      </c>
      <c r="S293" s="32">
        <f t="shared" si="132"/>
        <v>1354122.82</v>
      </c>
      <c r="T293" s="32">
        <f t="shared" si="132"/>
        <v>1325272.05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259782.25</v>
      </c>
      <c r="P294" s="32">
        <f t="shared" si="133"/>
        <v>856606.75</v>
      </c>
      <c r="Q294" s="32">
        <f t="shared" ref="Q294" si="134">Q303</f>
        <v>0</v>
      </c>
      <c r="R294" s="32">
        <f t="shared" si="133"/>
        <v>259782.25</v>
      </c>
      <c r="S294" s="32">
        <f t="shared" si="133"/>
        <v>40656</v>
      </c>
      <c r="T294" s="32">
        <f t="shared" si="133"/>
        <v>37557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113548.63</v>
      </c>
      <c r="P295" s="32">
        <f t="shared" si="135"/>
        <v>586451.37</v>
      </c>
      <c r="Q295" s="32">
        <f t="shared" ref="Q295" si="136">Q304</f>
        <v>0</v>
      </c>
      <c r="R295" s="32">
        <f t="shared" si="135"/>
        <v>86347.9</v>
      </c>
      <c r="S295" s="32">
        <f t="shared" si="135"/>
        <v>73341.77</v>
      </c>
      <c r="T295" s="32">
        <f t="shared" si="135"/>
        <v>63466.04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0</v>
      </c>
      <c r="P296" s="32">
        <f t="shared" si="137"/>
        <v>200000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280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161528.14000000001</v>
      </c>
      <c r="P301" s="21">
        <f t="shared" si="140"/>
        <v>38471.859999999986</v>
      </c>
      <c r="Q301" s="21">
        <f>SUM(Q302:Q304)</f>
        <v>0</v>
      </c>
      <c r="R301" s="21">
        <f>SUM(R302:R306)</f>
        <v>137200.06</v>
      </c>
      <c r="S301" s="21">
        <f>SUM(S302:S306)</f>
        <v>112352.64</v>
      </c>
      <c r="T301" s="21">
        <f>SUM(T302:T306)</f>
        <v>109532.39</v>
      </c>
      <c r="U301" s="154">
        <f>+IFERROR((R301/N301),0%)</f>
        <v>0.68600030000000001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161528.14000000001</v>
      </c>
      <c r="P302" s="231">
        <f>+N302-O302</f>
        <v>38471.859999999986</v>
      </c>
      <c r="Q302" s="33"/>
      <c r="R302" s="231">
        <f>IFERROR(VLOOKUP(G302,'Base Execução'!$A:$K,7,FALSE),0)</f>
        <v>137200.06</v>
      </c>
      <c r="S302" s="231">
        <f>IFERROR(VLOOKUP(G302,'Base Execução'!$A:$K,9,FALSE),0)</f>
        <v>112352.64</v>
      </c>
      <c r="T302" s="32">
        <f>IFERROR(VLOOKUP(G302,'Base Execução'!$A:$K,11,FALSE),0)</f>
        <v>109532.39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281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1667685.33</v>
      </c>
      <c r="P308" s="22">
        <f t="shared" si="141"/>
        <v>2548703.67</v>
      </c>
      <c r="Q308" s="33"/>
      <c r="R308" s="22">
        <f t="shared" ref="R308" si="142">SUM(R309:R310)</f>
        <v>1154397.45</v>
      </c>
      <c r="S308" s="22">
        <f t="shared" ref="S308" si="143">SUM(S309:S310)</f>
        <v>803149.43</v>
      </c>
      <c r="T308" s="22">
        <f t="shared" ref="T308" si="144">SUM(T309:T310)</f>
        <v>792140.43</v>
      </c>
      <c r="U308" s="154">
        <f>+IFERROR((R308/N308),0%)</f>
        <v>0.27378817514228404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1419903.08</v>
      </c>
      <c r="P309" s="231">
        <f>+N309-O309</f>
        <v>1880096.92</v>
      </c>
      <c r="Q309" s="32"/>
      <c r="R309" s="231">
        <f>IFERROR(VLOOKUP(G309,'Base Execução'!$A:$K,7,FALSE),0)</f>
        <v>906615.2</v>
      </c>
      <c r="S309" s="231">
        <f>IFERROR(VLOOKUP(G309,'Base Execução'!$A:$K,9,FALSE),0)</f>
        <v>762493.43</v>
      </c>
      <c r="T309" s="32">
        <f>IFERROR(VLOOKUP(G309,'Base Execução'!$A:$K,11,FALSE),0)</f>
        <v>754583.43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247782.25</v>
      </c>
      <c r="P310" s="231">
        <f>+N310-O310</f>
        <v>668606.75</v>
      </c>
      <c r="Q310" s="32"/>
      <c r="R310" s="231">
        <f>IFERROR(VLOOKUP(G310,'Base Execução'!$A:$K,7,FALSE),0)</f>
        <v>247782.25</v>
      </c>
      <c r="S310" s="231">
        <f>IFERROR(VLOOKUP(G310,'Base Execução'!$A:$K,9,FALSE),0)</f>
        <v>40656</v>
      </c>
      <c r="T310" s="32">
        <f>IFERROR(VLOOKUP(G310,'Base Execução'!$A:$K,11,FALSE),0)</f>
        <v>37557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362953.8</v>
      </c>
      <c r="P312" s="22">
        <f t="shared" si="145"/>
        <v>437046.2</v>
      </c>
      <c r="Q312" s="33"/>
      <c r="R312" s="22">
        <f t="shared" ref="R312" si="146">SUM(R313:R314)</f>
        <v>345579.6</v>
      </c>
      <c r="S312" s="22">
        <f t="shared" ref="S312" si="147">SUM(S313:S314)</f>
        <v>270962.07</v>
      </c>
      <c r="T312" s="22">
        <f t="shared" ref="T312" si="148">SUM(T313:T314)</f>
        <v>252841.55</v>
      </c>
      <c r="U312" s="154">
        <f>+IFERROR((R312/N312),0%)</f>
        <v>0.43197449999999998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350953.8</v>
      </c>
      <c r="P313" s="231">
        <f>+N313-O313</f>
        <v>349046.2</v>
      </c>
      <c r="Q313" s="32"/>
      <c r="R313" s="231">
        <f>IFERROR(VLOOKUP(G313,'Base Execução'!$A:$K,7,FALSE),0)</f>
        <v>333579.59999999998</v>
      </c>
      <c r="S313" s="231">
        <f>IFERROR(VLOOKUP(G313,'Base Execução'!$A:$K,9,FALSE),0)</f>
        <v>270962.07</v>
      </c>
      <c r="T313" s="32">
        <f>IFERROR(VLOOKUP(G313,'Base Execução'!$A:$K,11,FALSE),0)</f>
        <v>252841.55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12000</v>
      </c>
      <c r="P314" s="231">
        <f>+N314-O314</f>
        <v>88000</v>
      </c>
      <c r="Q314" s="32"/>
      <c r="R314" s="231">
        <f>IFERROR(VLOOKUP(G314,'Base Execução'!$A:$K,7,FALSE),0)</f>
        <v>12000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318555.53000000003</v>
      </c>
      <c r="P316" s="22">
        <f t="shared" si="149"/>
        <v>381444.47</v>
      </c>
      <c r="Q316" s="33"/>
      <c r="R316" s="22">
        <f t="shared" ref="R316" si="150">SUM(R317:R318)</f>
        <v>242273.99</v>
      </c>
      <c r="S316" s="22">
        <f t="shared" ref="S316" si="151">SUM(S317:S318)</f>
        <v>208314.68</v>
      </c>
      <c r="T316" s="22">
        <f t="shared" ref="T316" si="152">SUM(T317:T318)</f>
        <v>208314.68</v>
      </c>
      <c r="U316" s="154">
        <f>+IFERROR((R316/N316),0%)</f>
        <v>0.34610569999999996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318555.53000000003</v>
      </c>
      <c r="P317" s="231">
        <f>+N317-O317</f>
        <v>281444.46999999997</v>
      </c>
      <c r="Q317" s="32"/>
      <c r="R317" s="231">
        <f>IFERROR(VLOOKUP(G317,'Base Execução'!$A:$K,7,FALSE),0)</f>
        <v>242273.99</v>
      </c>
      <c r="S317" s="231">
        <f>IFERROR(VLOOKUP(G317,'Base Execução'!$A:$K,9,FALSE),0)</f>
        <v>208314.68</v>
      </c>
      <c r="T317" s="32">
        <f>IFERROR(VLOOKUP(G317,'Base Execução'!$A:$K,11,FALSE),0)</f>
        <v>208314.68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0</v>
      </c>
      <c r="P318" s="231">
        <f>+N318-O318</f>
        <v>100000</v>
      </c>
      <c r="Q318" s="32"/>
      <c r="R318" s="231">
        <f>IFERROR(VLOOKUP(G318,'Base Execução'!$A:$K,7,FALSE),0)</f>
        <v>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357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358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113548.63</v>
      </c>
      <c r="P320" s="229">
        <f t="shared" si="153"/>
        <v>586451.37</v>
      </c>
      <c r="Q320" s="33"/>
      <c r="R320" s="229">
        <f>SUM(R321:R321)</f>
        <v>86347.9</v>
      </c>
      <c r="S320" s="229">
        <f>SUM(S321:S321)</f>
        <v>73341.77</v>
      </c>
      <c r="T320" s="22">
        <f>SUM(T321:T321)</f>
        <v>63466.04</v>
      </c>
      <c r="U320" s="154">
        <f>+IFERROR((R320/N320),0%)</f>
        <v>0.12335414285714284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113548.63</v>
      </c>
      <c r="P321" s="231">
        <f>+N321-O321</f>
        <v>586451.37</v>
      </c>
      <c r="Q321" s="32"/>
      <c r="R321" s="231">
        <f>IFERROR(VLOOKUP(G321,'Base Execução'!$A:$K,7,FALSE),0)</f>
        <v>86347.9</v>
      </c>
      <c r="S321" s="231">
        <f>IFERROR(VLOOKUP(G321,'Base Execução'!$A:$K,9,FALSE),0)</f>
        <v>73341.77</v>
      </c>
      <c r="T321" s="32">
        <f>IFERROR(VLOOKUP(G321,'Base Execução'!$A:$K,11,FALSE),0)</f>
        <v>63466.04</v>
      </c>
      <c r="U321" s="155"/>
    </row>
    <row r="322" spans="1:33" s="11" customFormat="1" ht="24.95" customHeight="1" x14ac:dyDescent="0.2">
      <c r="A322" s="95"/>
      <c r="B322" s="424" t="s">
        <v>359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360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0</v>
      </c>
      <c r="P323" s="229">
        <f t="shared" si="154"/>
        <v>200000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0</v>
      </c>
      <c r="P324" s="231">
        <f>+N324-O324</f>
        <v>200000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282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5302252.7300000004</v>
      </c>
      <c r="P327" s="22">
        <f t="shared" si="155"/>
        <v>6186747.2699999996</v>
      </c>
      <c r="Q327" s="22">
        <f t="shared" si="155"/>
        <v>0</v>
      </c>
      <c r="R327" s="22">
        <f t="shared" si="155"/>
        <v>4678828.8600000003</v>
      </c>
      <c r="S327" s="22">
        <f t="shared" si="155"/>
        <v>2311300.1199999996</v>
      </c>
      <c r="T327" s="22">
        <f t="shared" si="155"/>
        <v>2175734.9500000002</v>
      </c>
      <c r="U327" s="156">
        <f>+IFERROR((R327/N327),0%)</f>
        <v>0.40724422142919314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327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4689444.4800000004</v>
      </c>
      <c r="P329" s="31">
        <f t="shared" si="156"/>
        <v>4799555.5199999996</v>
      </c>
      <c r="Q329" s="31">
        <f t="shared" si="156"/>
        <v>0</v>
      </c>
      <c r="R329" s="31">
        <f t="shared" si="156"/>
        <v>4118444.6100000003</v>
      </c>
      <c r="S329" s="31">
        <f t="shared" si="156"/>
        <v>2113377.1199999996</v>
      </c>
      <c r="T329" s="31">
        <f t="shared" si="156"/>
        <v>1977811.95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612808.25</v>
      </c>
      <c r="P330" s="31">
        <f t="shared" si="157"/>
        <v>1387191.75</v>
      </c>
      <c r="Q330" s="31">
        <f>Q335</f>
        <v>0</v>
      </c>
      <c r="R330" s="31">
        <f t="shared" si="157"/>
        <v>560384.25</v>
      </c>
      <c r="S330" s="31">
        <f t="shared" si="157"/>
        <v>197923</v>
      </c>
      <c r="T330" s="31">
        <f t="shared" si="157"/>
        <v>197923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283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221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1695656.69</v>
      </c>
      <c r="P333" s="30">
        <f t="shared" si="158"/>
        <v>3544343.31</v>
      </c>
      <c r="Q333" s="30">
        <f t="shared" si="158"/>
        <v>0</v>
      </c>
      <c r="R333" s="30">
        <f t="shared" si="158"/>
        <v>1566756.44</v>
      </c>
      <c r="S333" s="30">
        <f t="shared" si="158"/>
        <v>1009817.36</v>
      </c>
      <c r="T333" s="30">
        <f t="shared" si="158"/>
        <v>987980.15</v>
      </c>
      <c r="U333" s="154">
        <f>+IFERROR((R333/N333),0%)</f>
        <v>0.29899932061068701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1382568.44</v>
      </c>
      <c r="P334" s="232">
        <f>+N334-O334</f>
        <v>2157431.56</v>
      </c>
      <c r="Q334" s="35"/>
      <c r="R334" s="231">
        <f>IFERROR(VLOOKUP(G334,'Base Execução'!$A:$K,7,FALSE),0)</f>
        <v>1306092.19</v>
      </c>
      <c r="S334" s="231">
        <f>IFERROR(VLOOKUP(G334,'Base Execução'!$A:$K,9,FALSE),0)</f>
        <v>811894.36</v>
      </c>
      <c r="T334" s="32">
        <f>IFERROR(VLOOKUP(G334,'Base Execução'!$A:$K,11,FALSE),0)</f>
        <v>790057.15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313088.25</v>
      </c>
      <c r="P335" s="232">
        <f>+N335-O335</f>
        <v>1386911.75</v>
      </c>
      <c r="Q335" s="35"/>
      <c r="R335" s="231">
        <f>IFERROR(VLOOKUP(G335,'Base Execução'!$A:$K,7,FALSE),0)</f>
        <v>260664.25</v>
      </c>
      <c r="S335" s="231">
        <f>IFERROR(VLOOKUP(G335,'Base Execução'!$A:$K,9,FALSE),0)</f>
        <v>197923</v>
      </c>
      <c r="T335" s="32">
        <f>IFERROR(VLOOKUP(G335,'Base Execução'!$A:$K,11,FALSE),0)</f>
        <v>197923</v>
      </c>
      <c r="U335" s="298"/>
    </row>
    <row r="336" spans="1:33" s="11" customFormat="1" ht="15" customHeight="1" x14ac:dyDescent="0.2">
      <c r="A336" s="272"/>
      <c r="B336" s="424" t="s">
        <v>284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223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550483.51</v>
      </c>
      <c r="P337" s="22">
        <f t="shared" si="159"/>
        <v>249516.49</v>
      </c>
      <c r="Q337" s="22">
        <f>SUM(Q338:Q338)</f>
        <v>0</v>
      </c>
      <c r="R337" s="22">
        <f>SUM(R338:R339)</f>
        <v>506801.93</v>
      </c>
      <c r="S337" s="22">
        <f>SUM(S338:S339)</f>
        <v>196568.92</v>
      </c>
      <c r="T337" s="22">
        <f>SUM(T338:T339)</f>
        <v>186238.07</v>
      </c>
      <c r="U337" s="154">
        <f>+IFERROR((R337/N337),0%)</f>
        <v>0.63350241249999995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250763.51</v>
      </c>
      <c r="P338" s="232">
        <f>+N338-O338</f>
        <v>249236.49</v>
      </c>
      <c r="Q338" s="31"/>
      <c r="R338" s="231">
        <f>IFERROR(VLOOKUP(G338,'Base Execução'!$A:$K,7,FALSE),0)</f>
        <v>207081.93</v>
      </c>
      <c r="S338" s="231">
        <f>IFERROR(VLOOKUP(G338,'Base Execução'!$A:$K,9,FALSE),0)</f>
        <v>196568.92</v>
      </c>
      <c r="T338" s="32">
        <f>IFERROR(VLOOKUP(G338,'Base Execução'!$A:$K,11,FALSE),0)</f>
        <v>186238.07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285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222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539068.31999999995</v>
      </c>
      <c r="P341" s="229">
        <f t="shared" si="160"/>
        <v>287931.68000000005</v>
      </c>
      <c r="Q341" s="22">
        <f t="shared" si="160"/>
        <v>0</v>
      </c>
      <c r="R341" s="22">
        <f t="shared" si="160"/>
        <v>390493.1</v>
      </c>
      <c r="S341" s="22">
        <f t="shared" si="160"/>
        <v>324688.40999999997</v>
      </c>
      <c r="T341" s="22">
        <f t="shared" si="160"/>
        <v>315177.94</v>
      </c>
      <c r="U341" s="154">
        <f>+IFERROR((R341/N341),0%)</f>
        <v>0.47218029020556224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539068.31999999995</v>
      </c>
      <c r="P342" s="232">
        <f>+N342-O342</f>
        <v>287931.68000000005</v>
      </c>
      <c r="Q342" s="35"/>
      <c r="R342" s="231">
        <f>IFERROR(VLOOKUP(G342,'Base Execução'!$A:$K,7,FALSE),0)</f>
        <v>390493.1</v>
      </c>
      <c r="S342" s="231">
        <f>IFERROR(VLOOKUP(G342,'Base Execução'!$A:$K,9,FALSE),0)</f>
        <v>324688.40999999997</v>
      </c>
      <c r="T342" s="32">
        <f>IFERROR(VLOOKUP(G342,'Base Execução'!$A:$K,11,FALSE),0)</f>
        <v>315177.94</v>
      </c>
      <c r="U342" s="298"/>
    </row>
    <row r="343" spans="1:33" ht="15" customHeight="1" x14ac:dyDescent="0.2">
      <c r="A343" s="272"/>
      <c r="B343" s="424" t="s">
        <v>286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840299.58</v>
      </c>
      <c r="P344" s="229">
        <f t="shared" si="161"/>
        <v>737700.42</v>
      </c>
      <c r="Q344" s="22">
        <f t="shared" si="161"/>
        <v>0</v>
      </c>
      <c r="R344" s="22">
        <f t="shared" si="161"/>
        <v>736068.49</v>
      </c>
      <c r="S344" s="22">
        <f t="shared" si="161"/>
        <v>480044.13</v>
      </c>
      <c r="T344" s="22">
        <f t="shared" si="161"/>
        <v>473389.39</v>
      </c>
      <c r="U344" s="154">
        <f>+IFERROR((R344/N344),0%)</f>
        <v>0.46645658428390369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840299.58</v>
      </c>
      <c r="P345" s="232">
        <f>+N345-O345</f>
        <v>737700.42</v>
      </c>
      <c r="Q345" s="35"/>
      <c r="R345" s="231">
        <f>IFERROR(VLOOKUP(G345,'Base Execução'!$A:$K,7,FALSE),0)</f>
        <v>736068.49</v>
      </c>
      <c r="S345" s="231">
        <f>IFERROR(VLOOKUP(G345,'Base Execução'!$A:$K,9,FALSE),0)</f>
        <v>480044.13</v>
      </c>
      <c r="T345" s="32">
        <f>IFERROR(VLOOKUP(G345,'Base Execução'!$A:$K,11,FALSE),0)</f>
        <v>473389.39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302017.37</v>
      </c>
      <c r="P347" s="229">
        <f t="shared" si="162"/>
        <v>100982.63</v>
      </c>
      <c r="Q347" s="22">
        <f t="shared" si="162"/>
        <v>0</v>
      </c>
      <c r="R347" s="22">
        <f t="shared" si="162"/>
        <v>259192.91</v>
      </c>
      <c r="S347" s="22">
        <f t="shared" si="162"/>
        <v>188927.49</v>
      </c>
      <c r="T347" s="22">
        <f t="shared" si="162"/>
        <v>186540.34</v>
      </c>
      <c r="U347" s="154">
        <f>+IFERROR((R347/N347),0%)</f>
        <v>0.64315858560794048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302017.37</v>
      </c>
      <c r="P348" s="232">
        <f>+N348-O348</f>
        <v>100982.63</v>
      </c>
      <c r="Q348" s="35"/>
      <c r="R348" s="231">
        <f>IFERROR(VLOOKUP(G348,'Base Execução'!$A:$K,7,FALSE),0)</f>
        <v>259192.91</v>
      </c>
      <c r="S348" s="231">
        <f>IFERROR(VLOOKUP(G348,'Base Execução'!$A:$K,9,FALSE),0)</f>
        <v>188927.49</v>
      </c>
      <c r="T348" s="32">
        <f>IFERROR(VLOOKUP(G348,'Base Execução'!$A:$K,11,FALSE),0)</f>
        <v>186540.34</v>
      </c>
      <c r="U348" s="298"/>
    </row>
    <row r="349" spans="1:33" ht="15" customHeight="1" x14ac:dyDescent="0.2">
      <c r="A349" s="272"/>
      <c r="B349" s="424" t="s">
        <v>287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1374727.26</v>
      </c>
      <c r="P350" s="229">
        <f t="shared" si="163"/>
        <v>1266272.74</v>
      </c>
      <c r="Q350" s="22">
        <f t="shared" si="163"/>
        <v>0</v>
      </c>
      <c r="R350" s="22">
        <f t="shared" si="163"/>
        <v>1219515.99</v>
      </c>
      <c r="S350" s="22">
        <f t="shared" si="163"/>
        <v>111253.81</v>
      </c>
      <c r="T350" s="22">
        <f t="shared" si="163"/>
        <v>26409.06</v>
      </c>
      <c r="U350" s="154">
        <f>+IFERROR((R350/N350),0%)</f>
        <v>0.46176296478606588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1374727.26</v>
      </c>
      <c r="P351" s="232">
        <f>+N351-O351</f>
        <v>1266272.74</v>
      </c>
      <c r="Q351" s="35"/>
      <c r="R351" s="231">
        <f>IFERROR(VLOOKUP(G351,'Base Execução'!$A:$K,7,FALSE),0)</f>
        <v>1219515.99</v>
      </c>
      <c r="S351" s="231">
        <f>IFERROR(VLOOKUP(G351,'Base Execução'!$A:$K,9,FALSE),0)</f>
        <v>111253.81</v>
      </c>
      <c r="T351" s="32">
        <f>IFERROR(VLOOKUP(G351,'Base Execução'!$A:$K,11,FALSE),0)</f>
        <v>26409.06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288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8261825.2599999998</v>
      </c>
      <c r="P353" s="22">
        <f t="shared" si="164"/>
        <v>6472449.7400000002</v>
      </c>
      <c r="Q353" s="22">
        <f t="shared" si="164"/>
        <v>0</v>
      </c>
      <c r="R353" s="22">
        <f t="shared" si="164"/>
        <v>6637974.3700000001</v>
      </c>
      <c r="S353" s="22">
        <f t="shared" si="164"/>
        <v>3740599.0199999996</v>
      </c>
      <c r="T353" s="22">
        <f t="shared" si="164"/>
        <v>3089515.58</v>
      </c>
      <c r="U353" s="156">
        <f>+IFERROR((R353/N353),0%)</f>
        <v>0.4505124527674419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328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7054782.4399999995</v>
      </c>
      <c r="P355" s="32">
        <f t="shared" si="165"/>
        <v>4266570.5599999996</v>
      </c>
      <c r="Q355" s="32">
        <f t="shared" si="165"/>
        <v>0</v>
      </c>
      <c r="R355" s="32">
        <f t="shared" si="165"/>
        <v>5457802.21</v>
      </c>
      <c r="S355" s="32">
        <f t="shared" si="165"/>
        <v>3388351.0199999996</v>
      </c>
      <c r="T355" s="32">
        <f t="shared" si="165"/>
        <v>2737267.58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1207042.8199999998</v>
      </c>
      <c r="P356" s="32">
        <f t="shared" si="166"/>
        <v>2205879.1800000002</v>
      </c>
      <c r="Q356" s="32">
        <f t="shared" si="166"/>
        <v>0</v>
      </c>
      <c r="R356" s="32">
        <f t="shared" si="166"/>
        <v>1180172.1600000001</v>
      </c>
      <c r="S356" s="32">
        <f t="shared" si="166"/>
        <v>352248</v>
      </c>
      <c r="T356" s="32">
        <f t="shared" si="166"/>
        <v>352248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289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343946.65</v>
      </c>
      <c r="P359" s="21">
        <f t="shared" si="167"/>
        <v>6053.3500000000058</v>
      </c>
      <c r="Q359" s="21">
        <f t="shared" si="167"/>
        <v>0</v>
      </c>
      <c r="R359" s="21">
        <f t="shared" si="167"/>
        <v>338907.91000000003</v>
      </c>
      <c r="S359" s="21">
        <f t="shared" si="167"/>
        <v>200148.74</v>
      </c>
      <c r="T359" s="21">
        <f t="shared" si="167"/>
        <v>199505.89</v>
      </c>
      <c r="U359" s="154">
        <f>+IFERROR((R359/N359),0%)</f>
        <v>0.9683083142857144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199895.49</v>
      </c>
      <c r="P360" s="231">
        <f>+N360-O360</f>
        <v>104.51000000000931</v>
      </c>
      <c r="Q360" s="32"/>
      <c r="R360" s="231">
        <f>IFERROR(VLOOKUP(G360,'Base Execução'!$A:$K,7,FALSE),0)</f>
        <v>199846.75</v>
      </c>
      <c r="S360" s="231">
        <f>IFERROR(VLOOKUP(G360,'Base Execução'!$A:$K,9,FALSE),0)</f>
        <v>194951.74</v>
      </c>
      <c r="T360" s="32">
        <f>IFERROR(VLOOKUP(G360,'Base Execução'!$A:$K,11,FALSE),0)</f>
        <v>194308.89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144051.16</v>
      </c>
      <c r="P361" s="231">
        <f>+N361-O361</f>
        <v>5948.8399999999965</v>
      </c>
      <c r="Q361" s="32"/>
      <c r="R361" s="231">
        <f>IFERROR(VLOOKUP(G361,'Base Execução'!$A:$K,7,FALSE),0)</f>
        <v>139061.16</v>
      </c>
      <c r="S361" s="231">
        <f>IFERROR(VLOOKUP(G361,'Base Execução'!$A:$K,9,FALSE),0)</f>
        <v>5197</v>
      </c>
      <c r="T361" s="32">
        <f>IFERROR(VLOOKUP(G361,'Base Execução'!$A:$K,11,FALSE),0)</f>
        <v>5197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290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2676965.3400000003</v>
      </c>
      <c r="P363" s="229">
        <f t="shared" si="168"/>
        <v>3323034.66</v>
      </c>
      <c r="Q363" s="22">
        <f t="shared" si="168"/>
        <v>0</v>
      </c>
      <c r="R363" s="22">
        <f t="shared" si="168"/>
        <v>2646485.1800000002</v>
      </c>
      <c r="S363" s="22">
        <f t="shared" si="168"/>
        <v>1184271.71</v>
      </c>
      <c r="T363" s="22">
        <f t="shared" si="168"/>
        <v>1164505.96</v>
      </c>
      <c r="U363" s="154">
        <f>+IFERROR((R363/N363),0%)</f>
        <v>0.44108086333333335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2268973.6800000002</v>
      </c>
      <c r="P364" s="231">
        <f>+N364-O364</f>
        <v>1270604.3199999998</v>
      </c>
      <c r="Q364" s="32"/>
      <c r="R364" s="231">
        <f>IFERROR(VLOOKUP(G364,'Base Execução'!$A:$K,7,FALSE),0)</f>
        <v>2260374.1800000002</v>
      </c>
      <c r="S364" s="231">
        <f>IFERROR(VLOOKUP(G364,'Base Execução'!$A:$K,9,FALSE),0)</f>
        <v>837220.71</v>
      </c>
      <c r="T364" s="32">
        <f>IFERROR(VLOOKUP(G364,'Base Execução'!$A:$K,11,FALSE),0)</f>
        <v>817454.96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407991.66</v>
      </c>
      <c r="P365" s="231">
        <f>+N365-O365</f>
        <v>2052430.34</v>
      </c>
      <c r="Q365" s="32"/>
      <c r="R365" s="231">
        <f>IFERROR(VLOOKUP(G365,'Base Execução'!$A:$K,7,FALSE),0)</f>
        <v>386111</v>
      </c>
      <c r="S365" s="231">
        <f>IFERROR(VLOOKUP(G365,'Base Execução'!$A:$K,9,FALSE),0)</f>
        <v>347051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2802609.69</v>
      </c>
      <c r="P367" s="229">
        <f>SUM(P368:P369)</f>
        <v>1308500.31</v>
      </c>
      <c r="Q367" s="22">
        <f>SUM(Q368:Q369)</f>
        <v>0</v>
      </c>
      <c r="R367" s="22">
        <f>SUM(R368:R369)</f>
        <v>1218227.6599999999</v>
      </c>
      <c r="S367" s="22">
        <f>SUM(S368:S369)</f>
        <v>705229</v>
      </c>
      <c r="T367" s="22">
        <f>SUM(T368:T369)</f>
        <v>673399.94</v>
      </c>
      <c r="U367" s="154">
        <f>+IFERROR((R367/N367),0%)</f>
        <v>0.29632572711506139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2732609.69</v>
      </c>
      <c r="P368" s="231">
        <f>+N368-O368</f>
        <v>1181000.31</v>
      </c>
      <c r="Q368" s="32"/>
      <c r="R368" s="231">
        <f>IFERROR(VLOOKUP(G368,'Base Execução'!$A:$K,7,FALSE),0)</f>
        <v>1148227.6599999999</v>
      </c>
      <c r="S368" s="231">
        <f>IFERROR(VLOOKUP(G368,'Base Execução'!$A:$K,9,FALSE),0)</f>
        <v>705229</v>
      </c>
      <c r="T368" s="32">
        <f>IFERROR(VLOOKUP(G368,'Base Execução'!$A:$K,11,FALSE),0)</f>
        <v>673399.94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70000</v>
      </c>
      <c r="P369" s="231">
        <f>+N369-O369</f>
        <v>127500</v>
      </c>
      <c r="Q369" s="32"/>
      <c r="R369" s="231">
        <f>IFERROR(VLOOKUP(G369,'Base Execução'!$A:$K,7,FALSE),0)</f>
        <v>70000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291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1324845.51</v>
      </c>
      <c r="P371" s="229">
        <f>SUM(P372:P373)</f>
        <v>1296154.49</v>
      </c>
      <c r="Q371" s="22">
        <f>SUM(Q372:Q373)</f>
        <v>0</v>
      </c>
      <c r="R371" s="22">
        <f>SUM(R372:R373)</f>
        <v>1321065.55</v>
      </c>
      <c r="S371" s="22">
        <f>SUM(S372:S373)</f>
        <v>651978.02</v>
      </c>
      <c r="T371" s="22">
        <f>SUM(T372:T373)</f>
        <v>422417.65</v>
      </c>
      <c r="U371" s="154">
        <f>+IFERROR((R371/N371),0%)</f>
        <v>0.50403111407859602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849845.51</v>
      </c>
      <c r="P372" s="231">
        <f>+N372-O372</f>
        <v>1276154.49</v>
      </c>
      <c r="Q372" s="32"/>
      <c r="R372" s="231">
        <f>IFERROR(VLOOKUP(G372,'Base Execução'!$A:$K,7,FALSE),0)</f>
        <v>846065.55</v>
      </c>
      <c r="S372" s="231">
        <f>IFERROR(VLOOKUP(G372,'Base Execução'!$A:$K,9,FALSE),0)</f>
        <v>651978.02</v>
      </c>
      <c r="T372" s="32">
        <f>IFERROR(VLOOKUP(G372,'Base Execução'!$A:$K,11,FALSE),0)</f>
        <v>422417.65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475000</v>
      </c>
      <c r="P373" s="231">
        <f>+N373-O373</f>
        <v>20000</v>
      </c>
      <c r="Q373" s="32"/>
      <c r="R373" s="231">
        <f>IFERROR(VLOOKUP(G373,'Base Execução'!$A:$K,7,FALSE),0)</f>
        <v>475000</v>
      </c>
      <c r="S373" s="231">
        <f>IFERROR(VLOOKUP(G373,'Base Execução'!$A:$K,9,FALSE),0)</f>
        <v>0</v>
      </c>
      <c r="T373" s="32">
        <f>IFERROR(VLOOKUP(G373,'Base Execução'!$A:$K,11,FALSE),0)</f>
        <v>0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1113458.0699999998</v>
      </c>
      <c r="P375" s="229">
        <f t="shared" si="171"/>
        <v>538706.93000000005</v>
      </c>
      <c r="Q375" s="22">
        <f t="shared" si="171"/>
        <v>0</v>
      </c>
      <c r="R375" s="22">
        <f t="shared" si="171"/>
        <v>1113288.0699999998</v>
      </c>
      <c r="S375" s="22">
        <f t="shared" si="171"/>
        <v>998971.55</v>
      </c>
      <c r="T375" s="22">
        <f t="shared" si="171"/>
        <v>629686.14</v>
      </c>
      <c r="U375" s="154">
        <f>+IFERROR((R375/N375),0%)</f>
        <v>0.67383588806202765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1003458.07</v>
      </c>
      <c r="P376" s="231">
        <f>+N376-O376</f>
        <v>538706.93000000005</v>
      </c>
      <c r="Q376" s="32"/>
      <c r="R376" s="231">
        <f>IFERROR(VLOOKUP(G376,'Base Execução'!$A:$K,7,FALSE),0)</f>
        <v>1003288.07</v>
      </c>
      <c r="S376" s="231">
        <f>IFERROR(VLOOKUP(G376,'Base Execução'!$A:$K,9,FALSE),0)</f>
        <v>998971.55</v>
      </c>
      <c r="T376" s="32">
        <f>IFERROR(VLOOKUP(G376,'Base Execução'!$A:$K,11,FALSE),0)</f>
        <v>629686.14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292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3811701.36</v>
      </c>
      <c r="P379" s="21">
        <f t="shared" si="172"/>
        <v>4688298.6400000006</v>
      </c>
      <c r="Q379" s="22">
        <f>SUM(Q382:Q384)</f>
        <v>0</v>
      </c>
      <c r="R379" s="21">
        <f t="shared" si="172"/>
        <v>3734004.3</v>
      </c>
      <c r="S379" s="21">
        <f t="shared" si="172"/>
        <v>2260880.37</v>
      </c>
      <c r="T379" s="21">
        <f t="shared" si="172"/>
        <v>2051220.7</v>
      </c>
      <c r="U379" s="156">
        <f>+IFERROR((R379/N379),0%)</f>
        <v>0.43929462352941173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329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3169696.12</v>
      </c>
      <c r="P382" s="32">
        <f t="shared" si="174"/>
        <v>2522821.88</v>
      </c>
      <c r="Q382" s="32">
        <f t="shared" si="174"/>
        <v>0</v>
      </c>
      <c r="R382" s="32">
        <f t="shared" si="174"/>
        <v>3098832.06</v>
      </c>
      <c r="S382" s="32">
        <f t="shared" si="174"/>
        <v>1741578.94</v>
      </c>
      <c r="T382" s="32">
        <f t="shared" si="174"/>
        <v>1563840.11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27915.55</v>
      </c>
      <c r="P383" s="32">
        <f t="shared" si="175"/>
        <v>972084.45</v>
      </c>
      <c r="Q383" s="32">
        <f t="shared" si="175"/>
        <v>0</v>
      </c>
      <c r="R383" s="32">
        <f t="shared" si="175"/>
        <v>21642.55</v>
      </c>
      <c r="S383" s="32">
        <f t="shared" si="175"/>
        <v>491.9</v>
      </c>
      <c r="T383" s="32">
        <f t="shared" si="175"/>
        <v>491.9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614089.68999999994</v>
      </c>
      <c r="P384" s="32">
        <f t="shared" si="176"/>
        <v>1193392.31</v>
      </c>
      <c r="Q384" s="32">
        <f t="shared" si="176"/>
        <v>0</v>
      </c>
      <c r="R384" s="32">
        <f t="shared" si="176"/>
        <v>613529.68999999994</v>
      </c>
      <c r="S384" s="32">
        <f t="shared" si="176"/>
        <v>518809.53</v>
      </c>
      <c r="T384" s="32">
        <f t="shared" si="176"/>
        <v>486888.69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293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3811701.36</v>
      </c>
      <c r="P387" s="22">
        <f t="shared" si="177"/>
        <v>4688298.6400000006</v>
      </c>
      <c r="Q387" s="22">
        <f>SUM(Q389:Q391)</f>
        <v>0</v>
      </c>
      <c r="R387" s="22">
        <f>SUM(R388:R391)</f>
        <v>3734004.3</v>
      </c>
      <c r="S387" s="22">
        <f>SUM(S388:S391)</f>
        <v>2260880.37</v>
      </c>
      <c r="T387" s="22">
        <f>SUM(T388:T391)</f>
        <v>2051220.7</v>
      </c>
      <c r="U387" s="154">
        <f>+IFERROR((R387/N387),0%)</f>
        <v>0.43929462352941173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3169696.12</v>
      </c>
      <c r="P389" s="231">
        <f>+N389-O389</f>
        <v>2522821.88</v>
      </c>
      <c r="Q389" s="32"/>
      <c r="R389" s="231">
        <f>IFERROR(VLOOKUP(G389,'Base Execução'!$A:$K,7,FALSE),0)</f>
        <v>3098832.06</v>
      </c>
      <c r="S389" s="231">
        <f>IFERROR(VLOOKUP(G389,'Base Execução'!$A:$K,9,FALSE),0)</f>
        <v>1741578.94</v>
      </c>
      <c r="T389" s="32">
        <f>IFERROR(VLOOKUP(G389,'Base Execução'!$A:$K,11,FALSE),0)</f>
        <v>1563840.11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27915.55</v>
      </c>
      <c r="P390" s="231">
        <f>+N390-O390</f>
        <v>972084.45</v>
      </c>
      <c r="Q390" s="33"/>
      <c r="R390" s="231">
        <f>IFERROR(VLOOKUP(G390,'Base Execução'!$A:$K,7,FALSE),0)</f>
        <v>21642.55</v>
      </c>
      <c r="S390" s="231">
        <f>IFERROR(VLOOKUP(G390,'Base Execução'!$A:$K,9,FALSE),0)</f>
        <v>491.9</v>
      </c>
      <c r="T390" s="32">
        <f>IFERROR(VLOOKUP(G390,'Base Execução'!$A:$K,11,FALSE),0)</f>
        <v>491.9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614089.68999999994</v>
      </c>
      <c r="P391" s="231">
        <f>+N391-O391</f>
        <v>1193392.31</v>
      </c>
      <c r="Q391" s="33"/>
      <c r="R391" s="231">
        <f>IFERROR(VLOOKUP(G391,'Base Execução'!$A:$K,7,FALSE),0)</f>
        <v>613529.68999999994</v>
      </c>
      <c r="S391" s="231">
        <f>IFERROR(VLOOKUP(G391,'Base Execução'!$A:$K,9,FALSE),0)</f>
        <v>518809.53</v>
      </c>
      <c r="T391" s="32">
        <f>IFERROR(VLOOKUP(G391,'Base Execução'!$A:$K,11,FALSE),0)</f>
        <v>486888.69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294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486737.83999999997</v>
      </c>
      <c r="P393" s="21">
        <f t="shared" si="178"/>
        <v>410611.16000000003</v>
      </c>
      <c r="Q393" s="22">
        <f>SUM(Q397:Q398)</f>
        <v>0</v>
      </c>
      <c r="R393" s="21">
        <f t="shared" si="178"/>
        <v>452133.22</v>
      </c>
      <c r="S393" s="21">
        <f t="shared" si="178"/>
        <v>340348.63</v>
      </c>
      <c r="T393" s="21">
        <f t="shared" si="178"/>
        <v>301020.85000000003</v>
      </c>
      <c r="U393" s="156">
        <f>+IFERROR((R393/N393),0%)</f>
        <v>0.50385437549938761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330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485351.83999999997</v>
      </c>
      <c r="P397" s="32">
        <f t="shared" si="181"/>
        <v>410611.16000000003</v>
      </c>
      <c r="Q397" s="32">
        <f t="shared" si="181"/>
        <v>0</v>
      </c>
      <c r="R397" s="32">
        <f t="shared" si="181"/>
        <v>452133.22</v>
      </c>
      <c r="S397" s="32">
        <f t="shared" si="181"/>
        <v>340348.63</v>
      </c>
      <c r="T397" s="32">
        <f t="shared" si="181"/>
        <v>301020.85000000003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90723.3</v>
      </c>
      <c r="P401" s="228">
        <f t="shared" si="183"/>
        <v>60662.7</v>
      </c>
      <c r="Q401" s="21">
        <f t="shared" si="183"/>
        <v>0</v>
      </c>
      <c r="R401" s="21">
        <f t="shared" si="183"/>
        <v>78275.789999999994</v>
      </c>
      <c r="S401" s="21">
        <f t="shared" si="183"/>
        <v>33062.92</v>
      </c>
      <c r="T401" s="21">
        <f t="shared" si="183"/>
        <v>23156.03</v>
      </c>
      <c r="U401" s="154">
        <f>+IFERROR((R401/N401),0%)</f>
        <v>0.51706095675954178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89337.3</v>
      </c>
      <c r="P402" s="231">
        <f>+N402-O402</f>
        <v>60662.7</v>
      </c>
      <c r="Q402" s="32"/>
      <c r="R402" s="231">
        <f>IFERROR(VLOOKUP(G402,'Base Execução'!$A:$K,7,FALSE),0)</f>
        <v>78275.789999999994</v>
      </c>
      <c r="S402" s="231">
        <f>IFERROR(VLOOKUP(G402,'Base Execução'!$A:$K,9,FALSE),0)</f>
        <v>33062.92</v>
      </c>
      <c r="T402" s="32">
        <f>IFERROR(VLOOKUP(G402,'Base Execução'!$A:$K,11,FALSE),0)</f>
        <v>23156.03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307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0</v>
      </c>
      <c r="L408" s="21">
        <f t="shared" si="185"/>
        <v>275000</v>
      </c>
      <c r="M408" s="21">
        <f t="shared" si="185"/>
        <v>0</v>
      </c>
      <c r="N408" s="21">
        <f t="shared" si="185"/>
        <v>275000</v>
      </c>
      <c r="O408" s="21">
        <f t="shared" si="185"/>
        <v>146208.25</v>
      </c>
      <c r="P408" s="228">
        <f t="shared" si="185"/>
        <v>128791.75</v>
      </c>
      <c r="Q408" s="21">
        <f t="shared" si="185"/>
        <v>0</v>
      </c>
      <c r="R408" s="21">
        <f t="shared" si="185"/>
        <v>141562.15</v>
      </c>
      <c r="S408" s="21">
        <f t="shared" si="185"/>
        <v>129706.49</v>
      </c>
      <c r="T408" s="21">
        <f t="shared" si="185"/>
        <v>129588.62</v>
      </c>
      <c r="U408" s="154">
        <f>+IFERROR((R408/N408),0%)</f>
        <v>0.51477145454545448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0</v>
      </c>
      <c r="L409" s="32">
        <f>IFERROR(VLOOKUP(G409,'Base Zero'!$A:$L,10,FALSE),0)</f>
        <v>275000</v>
      </c>
      <c r="M409" s="32">
        <f>+L409-N409</f>
        <v>0</v>
      </c>
      <c r="N409" s="32">
        <f>IFERROR(VLOOKUP(G409,'Base Zero'!$A:$P,16,FALSE),0)</f>
        <v>275000</v>
      </c>
      <c r="O409" s="32">
        <f>IFERROR(VLOOKUP(G409,'Base Execução'!A:M,6,FALSE),0)+IFERROR(VLOOKUP(G409,'Destaque Liberado pela CPRM'!A:F,6,FALSE),0)</f>
        <v>146208.25</v>
      </c>
      <c r="P409" s="231">
        <f>+N409-O409</f>
        <v>128791.75</v>
      </c>
      <c r="Q409" s="32"/>
      <c r="R409" s="231">
        <f>IFERROR(VLOOKUP(G409,'Base Execução'!$A:$K,7,FALSE),0)</f>
        <v>141562.15</v>
      </c>
      <c r="S409" s="231">
        <f>IFERROR(VLOOKUP(G409,'Base Execução'!$A:$K,9,FALSE),0)</f>
        <v>129706.49</v>
      </c>
      <c r="T409" s="32">
        <f>IFERROR(VLOOKUP(G409,'Base Execução'!$A:$K,11,FALSE),0)</f>
        <v>129588.62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295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133454.70000000001</v>
      </c>
      <c r="P411" s="228">
        <f t="shared" si="186"/>
        <v>187508.3</v>
      </c>
      <c r="Q411" s="21">
        <f t="shared" si="186"/>
        <v>0</v>
      </c>
      <c r="R411" s="21">
        <f t="shared" si="186"/>
        <v>124113.43</v>
      </c>
      <c r="S411" s="21">
        <f t="shared" si="186"/>
        <v>89397.37</v>
      </c>
      <c r="T411" s="21">
        <f t="shared" si="186"/>
        <v>89332.24</v>
      </c>
      <c r="U411" s="154">
        <f>+IFERROR((R411/N411),0%)</f>
        <v>0.3866907712103887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133454.70000000001</v>
      </c>
      <c r="P412" s="231">
        <f>+N412-O412</f>
        <v>187508.3</v>
      </c>
      <c r="Q412" s="32"/>
      <c r="R412" s="231">
        <f>IFERROR(VLOOKUP(G412,'Base Execução'!$A:$K,7,FALSE),0)</f>
        <v>124113.43</v>
      </c>
      <c r="S412" s="231">
        <f>IFERROR(VLOOKUP(G412,'Base Execução'!$A:$K,9,FALSE),0)</f>
        <v>89397.37</v>
      </c>
      <c r="T412" s="32">
        <f>IFERROR(VLOOKUP(G412,'Base Execução'!$A:$K,11,FALSE),0)</f>
        <v>89332.24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0</v>
      </c>
      <c r="L414" s="21">
        <f t="shared" si="187"/>
        <v>150000</v>
      </c>
      <c r="M414" s="21">
        <f t="shared" si="187"/>
        <v>0</v>
      </c>
      <c r="N414" s="21">
        <f t="shared" si="187"/>
        <v>150000</v>
      </c>
      <c r="O414" s="21">
        <f t="shared" si="187"/>
        <v>116351.59</v>
      </c>
      <c r="P414" s="228">
        <f t="shared" si="187"/>
        <v>33648.410000000003</v>
      </c>
      <c r="Q414" s="21">
        <f t="shared" si="187"/>
        <v>0</v>
      </c>
      <c r="R414" s="21">
        <f t="shared" si="187"/>
        <v>108181.85</v>
      </c>
      <c r="S414" s="21">
        <f t="shared" si="187"/>
        <v>88181.85</v>
      </c>
      <c r="T414" s="21">
        <f t="shared" si="187"/>
        <v>58943.96</v>
      </c>
      <c r="U414" s="154">
        <f>+IFERROR((R414/N414),0%)</f>
        <v>0.72121233333333334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0</v>
      </c>
      <c r="L415" s="32">
        <f>IFERROR(VLOOKUP(G415,'Base Zero'!$A:$L,10,FALSE),0)</f>
        <v>150000</v>
      </c>
      <c r="M415" s="32">
        <f>+L415-N415</f>
        <v>0</v>
      </c>
      <c r="N415" s="32">
        <f>IFERROR(VLOOKUP(G415,'Base Zero'!$A:$P,16,FALSE),0)</f>
        <v>150000</v>
      </c>
      <c r="O415" s="32">
        <f>IFERROR(VLOOKUP(G415,'Base Execução'!A:M,6,FALSE),0)+IFERROR(VLOOKUP(G415,'Destaque Liberado pela CPRM'!A:F,6,FALSE),0)</f>
        <v>116351.59</v>
      </c>
      <c r="P415" s="231">
        <f>+N415-O415</f>
        <v>33648.410000000003</v>
      </c>
      <c r="Q415" s="32"/>
      <c r="R415" s="231">
        <f>IFERROR(VLOOKUP(G415,'Base Execução'!$A:$K,7,FALSE),0)</f>
        <v>108181.85</v>
      </c>
      <c r="S415" s="231">
        <f>IFERROR(VLOOKUP(G415,'Base Execução'!$A:$K,9,FALSE),0)</f>
        <v>88181.85</v>
      </c>
      <c r="T415" s="32">
        <f>IFERROR(VLOOKUP(G415,'Base Execução'!$A:$K,11,FALSE),0)</f>
        <v>58943.96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 t="shared" si="188"/>
        <v>-2042547</v>
      </c>
      <c r="L417" s="412">
        <f t="shared" si="188"/>
        <v>512067713</v>
      </c>
      <c r="M417" s="412">
        <f t="shared" si="188"/>
        <v>285403</v>
      </c>
      <c r="N417" s="412">
        <f t="shared" si="188"/>
        <v>511782310</v>
      </c>
      <c r="O417" s="412">
        <f t="shared" si="188"/>
        <v>298251729.25</v>
      </c>
      <c r="P417" s="412">
        <f>P393+P379+P353+P327+P291+P281+P257+P248+P224+P208+P183+P149+P139+P125+P97+P83+P65+P57+P37+P29+P9</f>
        <v>225335543.45000005</v>
      </c>
      <c r="Q417" s="416"/>
      <c r="R417" s="412">
        <f>R393+R379+R353+R327+R291+R281+R257+R248+R224+R208+R183+R149+R139+R125+R97+R83+R65+R57+R37+R29+R9</f>
        <v>288054306.63999999</v>
      </c>
      <c r="S417" s="412">
        <f>S393+S379+S353+S327+S291+S281+S257+S248+S224+S208+S183+S149+S139+S125+S97+S83+S65+S57+S37+S29+S9</f>
        <v>230156551.72999999</v>
      </c>
      <c r="T417" s="412">
        <f>T393+T379+T353+T327+T291+T281+T257+T248+T224+T208+T183+T149+T139+T125+T97+T83+T65+T57+T37+T29+T9</f>
        <v>224333488.65999997</v>
      </c>
      <c r="U417" s="418">
        <f>(R417/N417)</f>
        <v>0.56284537587866212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44757</v>
      </c>
    </row>
    <row r="6" spans="1:27" ht="20.100000000000001" hidden="1" customHeight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29989381.100000001</v>
      </c>
      <c r="I12" s="141">
        <f>G12-H12</f>
        <v>5010618.8999999985</v>
      </c>
      <c r="J12" s="375">
        <f t="shared" ref="J12:J26" si="0">IFERROR((H12/G12),0%)</f>
        <v>0.85683946</v>
      </c>
      <c r="K12" s="141">
        <f>'Execução Orçamentária'!R65</f>
        <v>28954551.75</v>
      </c>
      <c r="L12" s="374">
        <f t="shared" ref="L12:L26" si="1">IFERROR((K12/G12),0%)</f>
        <v>0.82727290714285717</v>
      </c>
      <c r="M12" s="141">
        <f>'Execução Orçamentária'!S65</f>
        <v>12232606.57</v>
      </c>
      <c r="N12" s="374">
        <f t="shared" ref="N12:N26" si="2">IFERROR((M12/G12),0%)</f>
        <v>0.34950304485714284</v>
      </c>
      <c r="O12" s="141">
        <f>'Execução Orçamentária'!T65</f>
        <v>11424954.950000001</v>
      </c>
      <c r="P12" s="374">
        <f t="shared" ref="P12:P26" si="3">IFERROR((O12/G12),0%)</f>
        <v>0.32642728428571433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1032234.24</v>
      </c>
      <c r="I13" s="340">
        <f>G13-H13</f>
        <v>246933.76000000001</v>
      </c>
      <c r="J13" s="375">
        <f t="shared" si="0"/>
        <v>0.80695752238955321</v>
      </c>
      <c r="K13" s="340">
        <f>'Execução Orçamentária'!R139</f>
        <v>698195.18</v>
      </c>
      <c r="L13" s="374">
        <f t="shared" si="1"/>
        <v>0.54581976722369541</v>
      </c>
      <c r="M13" s="340">
        <f>'Execução Orçamentária'!S139</f>
        <v>484080.68</v>
      </c>
      <c r="N13" s="374">
        <f t="shared" si="2"/>
        <v>0.37843401335868315</v>
      </c>
      <c r="O13" s="340">
        <f>'Execução Orçamentária'!T139</f>
        <v>434255.97</v>
      </c>
      <c r="P13" s="374">
        <f t="shared" si="3"/>
        <v>0.33948314060389251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7053099.2800000003</v>
      </c>
      <c r="I14" s="141">
        <f>+G14-H14</f>
        <v>9528111.7199999988</v>
      </c>
      <c r="J14" s="375">
        <f t="shared" si="0"/>
        <v>0.42536695781749595</v>
      </c>
      <c r="K14" s="141">
        <f>'Execução Orçamentária'!R149</f>
        <v>6932112.1000000006</v>
      </c>
      <c r="L14" s="374">
        <f t="shared" si="1"/>
        <v>0.4180703146471027</v>
      </c>
      <c r="M14" s="141">
        <f>'Execução Orçamentária'!S149</f>
        <v>734918.19</v>
      </c>
      <c r="N14" s="374">
        <f t="shared" si="2"/>
        <v>4.4322347143402246E-2</v>
      </c>
      <c r="O14" s="141">
        <f>'Execução Orçamentária'!T149</f>
        <v>678747.04</v>
      </c>
      <c r="P14" s="374">
        <f t="shared" si="3"/>
        <v>4.0934708568632294E-2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1485165.52</v>
      </c>
      <c r="I15" s="141">
        <f>+G15-H15</f>
        <v>2925759.48</v>
      </c>
      <c r="J15" s="375">
        <f t="shared" si="0"/>
        <v>0.33670160340518146</v>
      </c>
      <c r="K15" s="141">
        <f>'Execução Orçamentária'!R183</f>
        <v>1286705.68</v>
      </c>
      <c r="L15" s="374">
        <f t="shared" si="1"/>
        <v>0.291708809376718</v>
      </c>
      <c r="M15" s="141">
        <f>'Execução Orçamentária'!S183</f>
        <v>1072200.7</v>
      </c>
      <c r="N15" s="374">
        <f t="shared" si="2"/>
        <v>0.24307842459348095</v>
      </c>
      <c r="O15" s="141">
        <f>'Execução Orçamentária'!T183</f>
        <v>1043420.5800000001</v>
      </c>
      <c r="P15" s="374">
        <f t="shared" si="3"/>
        <v>0.23655368885211153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2864173.9499999997</v>
      </c>
      <c r="I16" s="141">
        <f>+G16-H16</f>
        <v>1535826.0500000003</v>
      </c>
      <c r="J16" s="375">
        <f t="shared" si="0"/>
        <v>0.65094862499999995</v>
      </c>
      <c r="K16" s="141">
        <f>'Execução Orçamentária'!R208</f>
        <v>2707577.72</v>
      </c>
      <c r="L16" s="374">
        <f t="shared" si="1"/>
        <v>0.61535857272727279</v>
      </c>
      <c r="M16" s="141">
        <f>'Execução Orçamentária'!S208</f>
        <v>1704538.01</v>
      </c>
      <c r="N16" s="374">
        <f t="shared" si="2"/>
        <v>0.38739500227272727</v>
      </c>
      <c r="O16" s="141">
        <f>'Execução Orçamentária'!T208</f>
        <v>1455047.48</v>
      </c>
      <c r="P16" s="374">
        <f t="shared" si="3"/>
        <v>0.33069260909090908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1107949.4100000001</v>
      </c>
      <c r="I17" s="141">
        <f t="shared" ref="I17:I24" si="4">+G17-H17</f>
        <v>1538605.5899999999</v>
      </c>
      <c r="J17" s="375">
        <f t="shared" si="0"/>
        <v>0.41863834683201373</v>
      </c>
      <c r="K17" s="141">
        <f>'Execução Orçamentária'!R224</f>
        <v>1106066.1800000002</v>
      </c>
      <c r="L17" s="374">
        <f t="shared" si="1"/>
        <v>0.41792676895057923</v>
      </c>
      <c r="M17" s="141">
        <f>'Execução Orçamentária'!S224</f>
        <v>797571.33000000007</v>
      </c>
      <c r="N17" s="374">
        <f t="shared" si="2"/>
        <v>0.30136208391663882</v>
      </c>
      <c r="O17" s="141">
        <f>'Execução Orçamentária'!T224</f>
        <v>775532.3600000001</v>
      </c>
      <c r="P17" s="374">
        <f t="shared" si="3"/>
        <v>0.29303466582028337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6076506.6800000006</v>
      </c>
      <c r="I19" s="141">
        <f t="shared" si="4"/>
        <v>2745344.3199999994</v>
      </c>
      <c r="J19" s="375">
        <f t="shared" si="0"/>
        <v>0.6888017809414374</v>
      </c>
      <c r="K19" s="141">
        <f>'Execução Orçamentária'!R257</f>
        <v>5534671.6500000004</v>
      </c>
      <c r="L19" s="374">
        <f t="shared" si="1"/>
        <v>0.62738212762831747</v>
      </c>
      <c r="M19" s="141">
        <f>'Execução Orçamentária'!S257</f>
        <v>3416746.1</v>
      </c>
      <c r="N19" s="374">
        <f t="shared" si="2"/>
        <v>0.38730489780432703</v>
      </c>
      <c r="O19" s="141">
        <f>'Execução Orçamentária'!T257</f>
        <v>3268543.27</v>
      </c>
      <c r="P19" s="374">
        <f t="shared" si="3"/>
        <v>0.37050538146699596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340868.12</v>
      </c>
      <c r="I20" s="141">
        <f t="shared" si="4"/>
        <v>982408.88</v>
      </c>
      <c r="J20" s="375">
        <f t="shared" si="0"/>
        <v>0.25759392780196438</v>
      </c>
      <c r="K20" s="141">
        <f>'Execução Orçamentária'!R281</f>
        <v>288404.63</v>
      </c>
      <c r="L20" s="374">
        <f t="shared" si="1"/>
        <v>0.2179472854134093</v>
      </c>
      <c r="M20" s="141">
        <f>'Execução Orçamentária'!S281</f>
        <v>231493.75</v>
      </c>
      <c r="N20" s="374">
        <f t="shared" si="2"/>
        <v>0.17493975184334043</v>
      </c>
      <c r="O20" s="141">
        <f>'Execução Orçamentária'!T281</f>
        <v>202641.4</v>
      </c>
      <c r="P20" s="374">
        <f t="shared" si="3"/>
        <v>0.15313604029995231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0</v>
      </c>
      <c r="G21" s="142">
        <f>'Execução Orçamentária'!N291</f>
        <v>6816389</v>
      </c>
      <c r="H21" s="142">
        <f>'Execução Orçamentária'!O291</f>
        <v>2624271.4300000002</v>
      </c>
      <c r="I21" s="141">
        <f t="shared" si="4"/>
        <v>4192117.57</v>
      </c>
      <c r="J21" s="375">
        <f t="shared" si="0"/>
        <v>0.38499437605453563</v>
      </c>
      <c r="K21" s="141">
        <f>'Execução Orçamentária'!R291</f>
        <v>1965798.9999999998</v>
      </c>
      <c r="L21" s="374">
        <f t="shared" si="1"/>
        <v>0.28839301864961048</v>
      </c>
      <c r="M21" s="141">
        <f>'Execução Orçamentária'!S291</f>
        <v>1468120.59</v>
      </c>
      <c r="N21" s="374">
        <f t="shared" si="2"/>
        <v>0.21538098691257204</v>
      </c>
      <c r="O21" s="141">
        <f>'Execução Orçamentária'!T291</f>
        <v>1426295.09</v>
      </c>
      <c r="P21" s="374">
        <f t="shared" si="3"/>
        <v>0.20924496679987015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5302252.7300000004</v>
      </c>
      <c r="I22" s="141">
        <f t="shared" si="4"/>
        <v>6186747.2699999996</v>
      </c>
      <c r="J22" s="375">
        <f t="shared" si="0"/>
        <v>0.46150689616154589</v>
      </c>
      <c r="K22" s="141">
        <f>'Execução Orçamentária'!R327</f>
        <v>4678828.8600000003</v>
      </c>
      <c r="L22" s="374">
        <f t="shared" si="1"/>
        <v>0.40724422142919314</v>
      </c>
      <c r="M22" s="141">
        <f>'Execução Orçamentária'!S327</f>
        <v>2311300.1199999996</v>
      </c>
      <c r="N22" s="374">
        <f t="shared" si="2"/>
        <v>0.20117504743667852</v>
      </c>
      <c r="O22" s="141">
        <f>'Execução Orçamentária'!T327</f>
        <v>2175734.9500000002</v>
      </c>
      <c r="P22" s="374">
        <f t="shared" si="3"/>
        <v>0.18937548524675779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8261825.2599999998</v>
      </c>
      <c r="I23" s="141">
        <f t="shared" si="4"/>
        <v>6472449.7400000002</v>
      </c>
      <c r="J23" s="375">
        <f t="shared" si="0"/>
        <v>0.56072153261697644</v>
      </c>
      <c r="K23" s="141">
        <f>'Execução Orçamentária'!R353</f>
        <v>6637974.3700000001</v>
      </c>
      <c r="L23" s="374">
        <f t="shared" si="1"/>
        <v>0.4505124527674419</v>
      </c>
      <c r="M23" s="141">
        <f>'Execução Orçamentária'!S353</f>
        <v>3740599.0199999996</v>
      </c>
      <c r="N23" s="374">
        <f t="shared" si="2"/>
        <v>0.25387058542072816</v>
      </c>
      <c r="O23" s="141">
        <f>'Execução Orçamentária'!T353</f>
        <v>3089515.58</v>
      </c>
      <c r="P23" s="374">
        <f t="shared" si="3"/>
        <v>0.20968222596632682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3811701.36</v>
      </c>
      <c r="I24" s="141">
        <f t="shared" si="4"/>
        <v>4688298.6400000006</v>
      </c>
      <c r="J24" s="375">
        <f t="shared" si="0"/>
        <v>0.44843545411764707</v>
      </c>
      <c r="K24" s="141">
        <f>'Execução Orçamentária'!R379</f>
        <v>3734004.3</v>
      </c>
      <c r="L24" s="374">
        <f t="shared" si="1"/>
        <v>0.43929462352941173</v>
      </c>
      <c r="M24" s="141">
        <f>'Execução Orçamentária'!S379</f>
        <v>2260880.37</v>
      </c>
      <c r="N24" s="374">
        <f t="shared" si="2"/>
        <v>0.26598592588235298</v>
      </c>
      <c r="O24" s="141">
        <f>'Execução Orçamentária'!T379</f>
        <v>2051220.7</v>
      </c>
      <c r="P24" s="374">
        <f t="shared" si="3"/>
        <v>0.24132008235294117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486737.83999999997</v>
      </c>
      <c r="I25" s="147">
        <f>G25-H25</f>
        <v>410611.16000000003</v>
      </c>
      <c r="J25" s="390">
        <f t="shared" si="0"/>
        <v>0.54241754323011449</v>
      </c>
      <c r="K25" s="426">
        <f>'Execução Orçamentária'!R393</f>
        <v>452133.22</v>
      </c>
      <c r="L25" s="374">
        <f t="shared" si="1"/>
        <v>0.50385437549938761</v>
      </c>
      <c r="M25" s="426">
        <f>'Execução Orçamentária'!S393</f>
        <v>340348.63</v>
      </c>
      <c r="N25" s="374">
        <f t="shared" si="2"/>
        <v>0.37928234165302466</v>
      </c>
      <c r="O25" s="426">
        <f>'Execução Orçamentária'!T393</f>
        <v>301020.85000000003</v>
      </c>
      <c r="P25" s="374">
        <f t="shared" si="3"/>
        <v>0.33545571455476081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0</v>
      </c>
      <c r="G26" s="385">
        <f t="shared" si="5"/>
        <v>119500000</v>
      </c>
      <c r="H26" s="385">
        <f t="shared" si="5"/>
        <v>70558731.680000007</v>
      </c>
      <c r="I26" s="385">
        <f t="shared" si="5"/>
        <v>48941268.32</v>
      </c>
      <c r="J26" s="386">
        <f t="shared" si="0"/>
        <v>0.59044963748953982</v>
      </c>
      <c r="K26" s="385">
        <f>SUM(K11:K25)</f>
        <v>65099589.399999991</v>
      </c>
      <c r="L26" s="386">
        <f t="shared" si="1"/>
        <v>0.54476643849372375</v>
      </c>
      <c r="M26" s="385">
        <f>SUM(M11:M25)</f>
        <v>30917968.82</v>
      </c>
      <c r="N26" s="386">
        <f t="shared" si="2"/>
        <v>0.25872777255230128</v>
      </c>
      <c r="O26" s="385">
        <f>SUM(O11:O25)</f>
        <v>28449494.98</v>
      </c>
      <c r="P26" s="386">
        <f t="shared" si="3"/>
        <v>0.23807108769874477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44757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185184639.28999999</v>
      </c>
      <c r="I11" s="340">
        <f>+G11-H11</f>
        <v>158478863.71000001</v>
      </c>
      <c r="J11" s="374">
        <f>IFERROR((H11/G11),0%)</f>
        <v>0.53885454135640343</v>
      </c>
      <c r="K11" s="427">
        <f>'Execução Orçamentária'!R125</f>
        <v>182168567.44999999</v>
      </c>
      <c r="L11" s="374">
        <f>IFERROR((K11/G11),0%)</f>
        <v>0.5300783058420957</v>
      </c>
      <c r="M11" s="427">
        <f>'Execução Orçamentária'!S125</f>
        <v>177559969.56</v>
      </c>
      <c r="N11" s="374">
        <f>IFERROR((M11/G11),0%)</f>
        <v>0.51666810123855367</v>
      </c>
      <c r="O11" s="427">
        <f>'Execução Orçamentária'!T125</f>
        <v>174461542.72999999</v>
      </c>
      <c r="P11" s="374">
        <f>IFERROR((O11/G11),0%)</f>
        <v>0.50765222727186132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32609925.399999999</v>
      </c>
      <c r="I12" s="147">
        <f>+G12-H12</f>
        <v>-6020818.3999999985</v>
      </c>
      <c r="J12" s="374">
        <f t="shared" ref="J12:J19" si="0">IFERROR((H12/G12),0%)</f>
        <v>1.2264392858323523</v>
      </c>
      <c r="K12" s="141">
        <f>'Execução Orçamentária'!R83</f>
        <v>30906013.079999998</v>
      </c>
      <c r="L12" s="374">
        <f t="shared" ref="L12:L19" si="1">IFERROR((K12/G12),0%)</f>
        <v>1.1623561889460974</v>
      </c>
      <c r="M12" s="141">
        <f>'Execução Orçamentária'!S83</f>
        <v>11802128.859999999</v>
      </c>
      <c r="N12" s="374">
        <f t="shared" ref="N12:N19" si="2">IFERROR((M12/G12),0%)</f>
        <v>0.44387082499611585</v>
      </c>
      <c r="O12" s="141">
        <f>'Execução Orçamentária'!T83</f>
        <v>11549290.07</v>
      </c>
      <c r="P12" s="374">
        <f t="shared" ref="P12:P19" si="3">IFERROR((O12/G12),0%)</f>
        <v>0.43436171323843259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669734.44999999995</v>
      </c>
      <c r="I13" s="147">
        <f t="shared" ref="I13:I18" si="4">+G13-H13</f>
        <v>1279767.55</v>
      </c>
      <c r="J13" s="374">
        <f t="shared" si="0"/>
        <v>0.34354129926514565</v>
      </c>
      <c r="K13" s="141">
        <f>'Execução Orçamentária'!R104</f>
        <v>652615.53</v>
      </c>
      <c r="L13" s="374">
        <f t="shared" si="1"/>
        <v>0.33476012335457977</v>
      </c>
      <c r="M13" s="141">
        <f>'Execução Orçamentária'!S104</f>
        <v>650734.21</v>
      </c>
      <c r="N13" s="374">
        <f t="shared" si="2"/>
        <v>0.33379509741462177</v>
      </c>
      <c r="O13" s="141">
        <f>'Execução Orçamentária'!T104</f>
        <v>650734.21</v>
      </c>
      <c r="P13" s="374">
        <f t="shared" si="3"/>
        <v>0.33379509741462177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77068.100000000006</v>
      </c>
      <c r="I14" s="147">
        <f t="shared" si="4"/>
        <v>156108.9</v>
      </c>
      <c r="J14" s="374">
        <f t="shared" si="0"/>
        <v>0.33051330105456372</v>
      </c>
      <c r="K14" s="141">
        <f>'Execução Orçamentária'!R111</f>
        <v>75890.850000000006</v>
      </c>
      <c r="L14" s="374">
        <f t="shared" si="1"/>
        <v>0.32546456125604156</v>
      </c>
      <c r="M14" s="141">
        <f>'Execução Orçamentária'!S111</f>
        <v>74164.210000000006</v>
      </c>
      <c r="N14" s="374">
        <f t="shared" si="2"/>
        <v>0.31805971429429147</v>
      </c>
      <c r="O14" s="141">
        <f>'Execução Orçamentária'!T111</f>
        <v>70840.600000000006</v>
      </c>
      <c r="P14" s="374">
        <f t="shared" si="3"/>
        <v>0.30380612152999653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7388368.7300000004</v>
      </c>
      <c r="I15" s="147">
        <f t="shared" si="4"/>
        <v>10240369.27</v>
      </c>
      <c r="J15" s="374">
        <f t="shared" si="0"/>
        <v>0.41910933896686198</v>
      </c>
      <c r="K15" s="141">
        <f>'Execução Orçamentária'!R118</f>
        <v>7388368.7300000004</v>
      </c>
      <c r="L15" s="374">
        <f t="shared" si="1"/>
        <v>0.41910933896686198</v>
      </c>
      <c r="M15" s="141">
        <f>'Execução Orçamentária'!S118</f>
        <v>7388368.7300000004</v>
      </c>
      <c r="N15" s="374">
        <f t="shared" si="2"/>
        <v>0.41910933896686198</v>
      </c>
      <c r="O15" s="141">
        <f>'Execução Orçamentária'!T118</f>
        <v>7388368.7300000004</v>
      </c>
      <c r="P15" s="374">
        <f t="shared" si="3"/>
        <v>0.41910933896686198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161074.43</v>
      </c>
      <c r="I16" s="147">
        <f t="shared" si="4"/>
        <v>191793.57</v>
      </c>
      <c r="J16" s="374">
        <f t="shared" si="0"/>
        <v>0.45647219356813312</v>
      </c>
      <c r="K16" s="141">
        <f>'Execução Orçamentária'!R29</f>
        <v>161074.43</v>
      </c>
      <c r="L16" s="374">
        <f t="shared" si="1"/>
        <v>0.45647219356813312</v>
      </c>
      <c r="M16" s="141">
        <f>'Execução Orçamentária'!S29</f>
        <v>161074.43</v>
      </c>
      <c r="N16" s="374">
        <f t="shared" si="2"/>
        <v>0.45647219356813312</v>
      </c>
      <c r="O16" s="141">
        <f>'Execução Orçamentária'!T29</f>
        <v>161074.43</v>
      </c>
      <c r="P16" s="374">
        <f t="shared" si="3"/>
        <v>0.45647219356813312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1602187.17</v>
      </c>
      <c r="I17" s="147">
        <f t="shared" si="4"/>
        <v>263227.83000000007</v>
      </c>
      <c r="J17" s="374">
        <f t="shared" si="0"/>
        <v>0.85889047209334113</v>
      </c>
      <c r="K17" s="141">
        <f>'Execução Orçamentária'!R9</f>
        <v>1602187.17</v>
      </c>
      <c r="L17" s="374">
        <f t="shared" si="1"/>
        <v>0.85889047209334113</v>
      </c>
      <c r="M17" s="141">
        <f>'Execução Orçamentária'!S9</f>
        <v>1602142.9100000001</v>
      </c>
      <c r="N17" s="374">
        <f t="shared" si="2"/>
        <v>0.85886674546950692</v>
      </c>
      <c r="O17" s="141">
        <f>'Execução Orçamentária'!T9</f>
        <v>1602142.9100000001</v>
      </c>
      <c r="P17" s="374">
        <f t="shared" si="3"/>
        <v>0.85886674546950692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227692997.56999996</v>
      </c>
      <c r="I19" s="385">
        <f t="shared" si="5"/>
        <v>164589312.43000004</v>
      </c>
      <c r="J19" s="386">
        <f t="shared" si="0"/>
        <v>0.58043146929057277</v>
      </c>
      <c r="K19" s="385">
        <f>SUM(K11:K18)</f>
        <v>222954717.23999995</v>
      </c>
      <c r="L19" s="386">
        <f t="shared" si="1"/>
        <v>0.56835271832675793</v>
      </c>
      <c r="M19" s="385">
        <f>SUM(M11:M18)</f>
        <v>199238582.91000003</v>
      </c>
      <c r="N19" s="386">
        <f t="shared" si="2"/>
        <v>0.50789591534219325</v>
      </c>
      <c r="O19" s="385">
        <f>SUM(O11:O18)</f>
        <v>195883993.67999998</v>
      </c>
      <c r="P19" s="386">
        <f t="shared" si="3"/>
        <v>0.49934444833874864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44759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9" t="s">
        <v>89</v>
      </c>
      <c r="N6" s="510"/>
      <c r="O6" s="510"/>
      <c r="P6" s="51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2" t="s">
        <v>126</v>
      </c>
      <c r="K7" s="524" t="s">
        <v>93</v>
      </c>
      <c r="L7" s="526" t="s">
        <v>127</v>
      </c>
      <c r="M7" s="526" t="s">
        <v>94</v>
      </c>
      <c r="N7" s="528" t="s">
        <v>186</v>
      </c>
      <c r="O7" s="526" t="s">
        <v>194</v>
      </c>
      <c r="P7" s="528" t="s">
        <v>105</v>
      </c>
      <c r="Q7" s="526" t="s">
        <v>95</v>
      </c>
      <c r="R7" s="528" t="s">
        <v>188</v>
      </c>
      <c r="S7" s="531" t="s">
        <v>187</v>
      </c>
      <c r="T7" s="528" t="s">
        <v>193</v>
      </c>
      <c r="U7" s="531" t="s">
        <v>190</v>
      </c>
      <c r="V7" s="528" t="s">
        <v>61</v>
      </c>
      <c r="W7" s="531" t="s">
        <v>192</v>
      </c>
      <c r="X7" s="53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1"/>
      <c r="C8" s="193"/>
      <c r="D8" s="194"/>
      <c r="E8" s="193"/>
      <c r="F8" s="195"/>
      <c r="G8" s="193"/>
      <c r="H8" s="196"/>
      <c r="I8" s="196"/>
      <c r="J8" s="523"/>
      <c r="K8" s="525"/>
      <c r="L8" s="527"/>
      <c r="M8" s="527"/>
      <c r="N8" s="529"/>
      <c r="O8" s="527"/>
      <c r="P8" s="529"/>
      <c r="Q8" s="527"/>
      <c r="R8" s="529"/>
      <c r="S8" s="532"/>
      <c r="T8" s="529"/>
      <c r="U8" s="532"/>
      <c r="V8" s="529"/>
      <c r="W8" s="532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1"/>
      <c r="C9" s="193"/>
      <c r="D9" s="194"/>
      <c r="E9" s="193"/>
      <c r="F9" s="195"/>
      <c r="G9" s="193"/>
      <c r="H9" s="196"/>
      <c r="I9" s="196"/>
      <c r="J9" s="523"/>
      <c r="K9" s="525"/>
      <c r="L9" s="527"/>
      <c r="M9" s="527"/>
      <c r="N9" s="530"/>
      <c r="O9" s="527"/>
      <c r="P9" s="530"/>
      <c r="Q9" s="527"/>
      <c r="R9" s="530"/>
      <c r="S9" s="532"/>
      <c r="T9" s="530"/>
      <c r="U9" s="532"/>
      <c r="V9" s="530"/>
      <c r="W9" s="532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1"/>
      <c r="C10" s="193"/>
      <c r="D10" s="194"/>
      <c r="E10" s="193"/>
      <c r="F10" s="195"/>
      <c r="G10" s="193"/>
      <c r="H10" s="196"/>
      <c r="I10" s="196"/>
      <c r="J10" s="52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486737.83999999997</v>
      </c>
      <c r="Q17" s="92" t="e">
        <f t="shared" ref="Q17:Q22" si="3">+O17-P17</f>
        <v>#REF!</v>
      </c>
      <c r="R17" s="92">
        <f>'Execução Orçamentária'!R393</f>
        <v>452133.22</v>
      </c>
      <c r="S17" s="243" t="e">
        <f t="shared" si="2"/>
        <v>#REF!</v>
      </c>
      <c r="T17" s="92">
        <f>'Execução Orçamentária'!S393</f>
        <v>340348.63</v>
      </c>
      <c r="U17" s="93" t="e">
        <f t="shared" si="0"/>
        <v>#REF!</v>
      </c>
      <c r="V17" s="92">
        <f>'Execução Orçamentária'!T393</f>
        <v>301020.85000000003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2022-07-18T11:29:44Z</dcterms:modified>
</cp:coreProperties>
</file>