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8 - AGO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Execução'!$A$4:$M$86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J95" i="3" s="1"/>
  <c r="K95" i="3" s="1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R79" i="3"/>
  <c r="R70" i="3" s="1"/>
  <c r="R202" i="3"/>
  <c r="S269" i="3"/>
  <c r="T90" i="3"/>
  <c r="R17" i="3"/>
  <c r="S166" i="3"/>
  <c r="S165" i="3" s="1"/>
  <c r="S239" i="3"/>
  <c r="R270" i="3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S295" i="3" s="1"/>
  <c r="R192" i="3"/>
  <c r="R80" i="3"/>
  <c r="R71" i="3" s="1"/>
  <c r="S178" i="3"/>
  <c r="R254" i="3"/>
  <c r="R288" i="3"/>
  <c r="T351" i="3"/>
  <c r="T350" i="3" s="1"/>
  <c r="T389" i="3"/>
  <c r="R26" i="3"/>
  <c r="S81" i="3"/>
  <c r="S72" i="3" s="1"/>
  <c r="T156" i="3"/>
  <c r="S289" i="3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R308" i="3" s="1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T16" i="3"/>
  <c r="S202" i="3"/>
  <c r="S201" i="3" s="1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O86" i="3" s="1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93" i="3" s="1"/>
  <c r="O27" i="3"/>
  <c r="O409" i="3"/>
  <c r="O388" i="3"/>
  <c r="O364" i="3"/>
  <c r="O303" i="3"/>
  <c r="O238" i="3"/>
  <c r="S12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T229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R381" i="3"/>
  <c r="R129" i="3"/>
  <c r="L136" i="3"/>
  <c r="I136" i="3"/>
  <c r="H136" i="3"/>
  <c r="I79" i="3"/>
  <c r="I70" i="3" s="1"/>
  <c r="I80" i="3"/>
  <c r="I71" i="3" s="1"/>
  <c r="I78" i="3"/>
  <c r="I81" i="3"/>
  <c r="I72" i="3" s="1"/>
  <c r="R221" i="3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R341" i="3"/>
  <c r="S51" i="3"/>
  <c r="S152" i="3"/>
  <c r="T70" i="3"/>
  <c r="T45" i="3"/>
  <c r="T142" i="3"/>
  <c r="T260" i="3"/>
  <c r="R171" i="3"/>
  <c r="S177" i="3"/>
  <c r="S284" i="3"/>
  <c r="T48" i="3"/>
  <c r="R72" i="3"/>
  <c r="R261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H93" i="3" l="1"/>
  <c r="I93" i="3"/>
  <c r="H86" i="3"/>
  <c r="I197" i="3"/>
  <c r="N86" i="3"/>
  <c r="M95" i="3"/>
  <c r="P95" i="3"/>
  <c r="P93" i="3" s="1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J306" i="3"/>
  <c r="H298" i="3"/>
  <c r="J91" i="3"/>
  <c r="J86" i="3" s="1"/>
  <c r="L298" i="3"/>
  <c r="M306" i="3"/>
  <c r="M298" i="3" s="1"/>
  <c r="P91" i="3"/>
  <c r="P86" i="3" s="1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M16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H83" i="3" s="1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M86" i="3" l="1"/>
  <c r="M93" i="3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K16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J291" i="3" l="1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88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F25" i="26" s="1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88" i="15" s="1"/>
  <c r="P17" i="28"/>
  <c r="Q17" i="28" s="1"/>
  <c r="O417" i="3"/>
  <c r="R17" i="28"/>
  <c r="V17" i="28"/>
  <c r="W17" i="28" s="1"/>
  <c r="T417" i="3"/>
  <c r="K88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P417" i="3" l="1"/>
  <c r="N100" i="1" s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1" i="3"/>
  <c r="K97" i="3"/>
  <c r="D21" i="26"/>
  <c r="K183" i="3"/>
  <c r="D15" i="26" s="1"/>
  <c r="U417" i="3"/>
  <c r="K393" i="3"/>
  <c r="D25" i="26" s="1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M417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7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<sst xmlns="http://schemas.openxmlformats.org/spreadsheetml/2006/main" count="1228" uniqueCount="361">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</sst>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79" fontId="29" fillId="4" borderId="54" xfId="0" applyNumberFormat="1" applyFont="1" applyFill="1" applyBorder="1" applyAlignment="1">
      <alignment horizontal="right" vertical="center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79" fontId="29" fillId="7" borderId="54" xfId="0" applyNumberFormat="1" applyFont="1" applyFill="1" applyBorder="1" applyAlignment="1">
      <alignment horizontal="right" vertical="center"/>
    </xf>
    <xf numFmtId="0" fontId="37" fillId="6" borderId="53" xfId="0" applyFont="1" applyFill="1" applyBorder="1" applyAlignment="1">
      <alignment horizontal="left" vertical="top"/>
    </xf>
    <xf numFmtId="0" fontId="37" fillId="6" borderId="53" xfId="0" applyFont="1" applyFill="1" applyBorder="1" applyAlignment="1">
      <alignment horizontal="left" vertical="top"/>
    </xf>
    <xf numFmtId="179" fontId="37" fillId="6" borderId="53" xfId="0" applyNumberFormat="1" applyFont="1" applyFill="1" applyBorder="1" applyAlignment="1">
      <alignment horizontal="right" vertical="top"/>
    </xf>
    <xf numFmtId="179" fontId="29" fillId="4" borderId="54" xfId="0" applyNumberFormat="1" applyFont="1" applyFill="1" applyBorder="1" applyAlignment="1">
      <alignment horizontal="right" wrapText="1"/>
    </xf>
    <xf numFmtId="179" fontId="29" fillId="7" borderId="54" xfId="0" applyNumberFormat="1" applyFont="1" applyFill="1" applyBorder="1" applyAlignment="1">
      <alignment horizontal="right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6" t="s">
        <v>68</v>
      </c>
      <c r="C1" s="476"/>
      <c r="D1" s="476"/>
      <c r="E1" s="476"/>
      <c r="F1" s="476"/>
      <c r="G1" s="476"/>
      <c r="H1" s="476"/>
      <c r="I1" s="476"/>
      <c r="J1" s="476"/>
      <c r="K1" s="476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7" t="s">
        <v>0</v>
      </c>
      <c r="C8" s="477" t="s">
        <v>1</v>
      </c>
      <c r="D8" s="477"/>
      <c r="E8" s="54" t="s">
        <v>66</v>
      </c>
      <c r="F8" s="478" t="s">
        <v>71</v>
      </c>
      <c r="G8" s="478"/>
      <c r="H8" s="478"/>
      <c r="I8" s="478"/>
      <c r="J8" s="478"/>
      <c r="K8" s="55" t="s">
        <v>9</v>
      </c>
    </row>
    <row r="9" spans="1:15" x14ac:dyDescent="0.2">
      <c r="B9" s="477"/>
      <c r="C9" s="477"/>
      <c r="D9" s="477"/>
      <c r="E9" s="479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7"/>
      <c r="C10" s="477"/>
      <c r="D10" s="477"/>
      <c r="E10" s="479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7"/>
      <c r="C11" s="477"/>
      <c r="D11" s="477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5" t="s">
        <v>10</v>
      </c>
      <c r="D101" s="475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44780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3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6" t="s">
        <v>93</v>
      </c>
      <c r="L7" s="523" t="s">
        <v>125</v>
      </c>
      <c r="M7" s="538" t="s">
        <v>94</v>
      </c>
      <c r="N7" s="540" t="s">
        <v>186</v>
      </c>
      <c r="O7" s="538" t="s">
        <v>116</v>
      </c>
      <c r="P7" s="540" t="s">
        <v>105</v>
      </c>
      <c r="Q7" s="538" t="s">
        <v>95</v>
      </c>
      <c r="R7" s="540" t="s">
        <v>188</v>
      </c>
      <c r="S7" s="543" t="s">
        <v>187</v>
      </c>
      <c r="T7" s="540" t="s">
        <v>189</v>
      </c>
      <c r="U7" s="540" t="s">
        <v>190</v>
      </c>
      <c r="V7" s="540" t="s">
        <v>191</v>
      </c>
      <c r="W7" s="540" t="s">
        <v>192</v>
      </c>
      <c r="X7" s="545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4"/>
      <c r="C8" s="208"/>
      <c r="D8" s="209"/>
      <c r="E8" s="208"/>
      <c r="F8" s="210"/>
      <c r="G8" s="208"/>
      <c r="H8" s="211"/>
      <c r="I8" s="211"/>
      <c r="J8" s="212"/>
      <c r="K8" s="537"/>
      <c r="L8" s="524"/>
      <c r="M8" s="539"/>
      <c r="N8" s="541"/>
      <c r="O8" s="539"/>
      <c r="P8" s="541"/>
      <c r="Q8" s="539"/>
      <c r="R8" s="541"/>
      <c r="S8" s="544"/>
      <c r="T8" s="541"/>
      <c r="U8" s="541"/>
      <c r="V8" s="541"/>
      <c r="W8" s="541"/>
      <c r="X8" s="545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4"/>
      <c r="C9" s="208"/>
      <c r="D9" s="209"/>
      <c r="E9" s="208"/>
      <c r="F9" s="210"/>
      <c r="G9" s="208"/>
      <c r="H9" s="211"/>
      <c r="I9" s="211"/>
      <c r="J9" s="212"/>
      <c r="K9" s="537"/>
      <c r="L9" s="524"/>
      <c r="M9" s="539"/>
      <c r="N9" s="542"/>
      <c r="O9" s="539"/>
      <c r="P9" s="542"/>
      <c r="Q9" s="539"/>
      <c r="R9" s="542"/>
      <c r="S9" s="544"/>
      <c r="T9" s="542"/>
      <c r="U9" s="542"/>
      <c r="V9" s="542"/>
      <c r="W9" s="542"/>
      <c r="X9" s="545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5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6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0"/>
      <c r="D81" s="480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71" activePane="bottomRight" state="frozen"/>
      <selection activeCell="B3" sqref="B3:B4"/>
      <selection pane="topRight" activeCell="B3" sqref="B3:B4"/>
      <selection pane="bottomLeft" activeCell="B3" sqref="B3:B4"/>
      <selection pane="bottomRight" activeCell="T82" sqref="T82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4" t="s">
        <v>48</v>
      </c>
      <c r="B3" s="484" t="s">
        <v>62</v>
      </c>
      <c r="C3" s="484" t="s">
        <v>348</v>
      </c>
      <c r="D3" s="484"/>
      <c r="E3" s="484" t="s">
        <v>349</v>
      </c>
      <c r="F3" s="481" t="s">
        <v>86</v>
      </c>
      <c r="G3" s="481" t="s">
        <v>350</v>
      </c>
      <c r="H3" s="481" t="s">
        <v>87</v>
      </c>
      <c r="I3" s="481" t="s">
        <v>351</v>
      </c>
      <c r="J3" s="481" t="s">
        <v>2</v>
      </c>
      <c r="K3" s="481" t="s">
        <v>352</v>
      </c>
      <c r="L3" s="481" t="s">
        <v>88</v>
      </c>
      <c r="M3" s="481" t="s">
        <v>4</v>
      </c>
      <c r="N3" s="481" t="s">
        <v>5</v>
      </c>
      <c r="O3" s="481" t="s">
        <v>12</v>
      </c>
      <c r="P3" s="481" t="s">
        <v>3</v>
      </c>
    </row>
    <row r="4" spans="1:17" s="445" customFormat="1" ht="32.1" customHeight="1" x14ac:dyDescent="0.2">
      <c r="A4" s="485"/>
      <c r="B4" s="484"/>
      <c r="C4" s="484"/>
      <c r="D4" s="484"/>
      <c r="E4" s="484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2"/>
    </row>
    <row r="5" spans="1:17" ht="17.100000000000001" customHeight="1" x14ac:dyDescent="0.2">
      <c r="A5" s="446" t="str">
        <f t="shared" ref="A5:A41" si="0">CONCATENATE(B5,"-",C5,"-",E5)</f>
        <v>93045-1-100</v>
      </c>
      <c r="B5" s="547">
        <v>93045</v>
      </c>
      <c r="C5" s="548">
        <v>1</v>
      </c>
      <c r="D5" s="549" t="s">
        <v>11</v>
      </c>
      <c r="E5" s="548">
        <v>100</v>
      </c>
      <c r="F5" s="558">
        <v>500000</v>
      </c>
      <c r="G5" s="558">
        <v>0</v>
      </c>
      <c r="H5" s="558">
        <v>500000</v>
      </c>
      <c r="I5" s="558">
        <v>764597</v>
      </c>
      <c r="J5" s="558">
        <v>1264597</v>
      </c>
      <c r="K5" s="558">
        <v>0</v>
      </c>
      <c r="L5" s="558">
        <v>1264597</v>
      </c>
      <c r="M5" s="558">
        <v>0</v>
      </c>
      <c r="N5" s="558">
        <v>0</v>
      </c>
      <c r="O5" s="558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551">
        <v>93045</v>
      </c>
      <c r="C6" s="552">
        <v>3</v>
      </c>
      <c r="D6" s="553" t="s">
        <v>8</v>
      </c>
      <c r="E6" s="552">
        <v>100</v>
      </c>
      <c r="F6" s="559">
        <v>50000</v>
      </c>
      <c r="G6" s="559">
        <v>0</v>
      </c>
      <c r="H6" s="559">
        <v>50000</v>
      </c>
      <c r="I6" s="559">
        <v>240818</v>
      </c>
      <c r="J6" s="559">
        <v>290818</v>
      </c>
      <c r="K6" s="559">
        <v>0</v>
      </c>
      <c r="L6" s="559">
        <v>290818</v>
      </c>
      <c r="M6" s="559">
        <v>31834.12</v>
      </c>
      <c r="N6" s="559">
        <v>31834.12</v>
      </c>
      <c r="O6" s="559"/>
      <c r="P6" s="448">
        <f t="shared" ref="P6:P96" si="1">+L6-O6</f>
        <v>290818</v>
      </c>
    </row>
    <row r="7" spans="1:17" ht="17.100000000000001" customHeight="1" x14ac:dyDescent="0.2">
      <c r="A7" s="446" t="str">
        <f t="shared" si="0"/>
        <v>93048-1-100</v>
      </c>
      <c r="B7" s="547">
        <v>93048</v>
      </c>
      <c r="C7" s="548">
        <v>1</v>
      </c>
      <c r="D7" s="549" t="s">
        <v>11</v>
      </c>
      <c r="E7" s="548">
        <v>100</v>
      </c>
      <c r="F7" s="558">
        <v>300000</v>
      </c>
      <c r="G7" s="558">
        <v>0</v>
      </c>
      <c r="H7" s="558">
        <v>300000</v>
      </c>
      <c r="I7" s="558">
        <v>0</v>
      </c>
      <c r="J7" s="558">
        <v>300000</v>
      </c>
      <c r="K7" s="558">
        <v>0</v>
      </c>
      <c r="L7" s="558">
        <v>300000</v>
      </c>
      <c r="M7" s="558">
        <v>206433.91</v>
      </c>
      <c r="N7" s="558">
        <v>206433.91</v>
      </c>
      <c r="O7" s="558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551">
        <v>93048</v>
      </c>
      <c r="C8" s="552">
        <v>3</v>
      </c>
      <c r="D8" s="553" t="s">
        <v>8</v>
      </c>
      <c r="E8" s="552">
        <v>100</v>
      </c>
      <c r="F8" s="559">
        <v>10000</v>
      </c>
      <c r="G8" s="559">
        <v>0</v>
      </c>
      <c r="H8" s="559">
        <v>10000</v>
      </c>
      <c r="I8" s="559">
        <v>0</v>
      </c>
      <c r="J8" s="559">
        <v>10000</v>
      </c>
      <c r="K8" s="559">
        <v>0</v>
      </c>
      <c r="L8" s="559">
        <v>10000</v>
      </c>
      <c r="M8" s="559">
        <v>10000</v>
      </c>
      <c r="N8" s="559">
        <v>10000</v>
      </c>
      <c r="O8" s="559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547">
        <v>107292</v>
      </c>
      <c r="C9" s="548">
        <v>1</v>
      </c>
      <c r="D9" s="549" t="s">
        <v>11</v>
      </c>
      <c r="E9" s="548">
        <v>100</v>
      </c>
      <c r="F9" s="558">
        <v>1000000</v>
      </c>
      <c r="G9" s="558">
        <v>0</v>
      </c>
      <c r="H9" s="558">
        <v>1000000</v>
      </c>
      <c r="I9" s="558">
        <v>-764597</v>
      </c>
      <c r="J9" s="558">
        <v>235403</v>
      </c>
      <c r="K9" s="558">
        <v>0</v>
      </c>
      <c r="L9" s="558">
        <v>235403</v>
      </c>
      <c r="M9" s="558">
        <v>235403</v>
      </c>
      <c r="N9" s="558">
        <v>0</v>
      </c>
      <c r="O9" s="558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551">
        <v>107292</v>
      </c>
      <c r="C10" s="552">
        <v>3</v>
      </c>
      <c r="D10" s="553" t="s">
        <v>8</v>
      </c>
      <c r="E10" s="552">
        <v>100</v>
      </c>
      <c r="F10" s="559">
        <v>50000</v>
      </c>
      <c r="G10" s="559">
        <v>0</v>
      </c>
      <c r="H10" s="559">
        <v>50000</v>
      </c>
      <c r="I10" s="559">
        <v>0</v>
      </c>
      <c r="J10" s="559">
        <v>50000</v>
      </c>
      <c r="K10" s="559">
        <v>0</v>
      </c>
      <c r="L10" s="559">
        <v>50000</v>
      </c>
      <c r="M10" s="559">
        <v>50000</v>
      </c>
      <c r="N10" s="559">
        <v>0</v>
      </c>
      <c r="O10" s="559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547">
        <v>128803</v>
      </c>
      <c r="C11" s="548">
        <v>3</v>
      </c>
      <c r="D11" s="549" t="s">
        <v>8</v>
      </c>
      <c r="E11" s="548">
        <v>142</v>
      </c>
      <c r="F11" s="558">
        <v>60000</v>
      </c>
      <c r="G11" s="558">
        <v>0</v>
      </c>
      <c r="H11" s="558">
        <v>60000</v>
      </c>
      <c r="I11" s="558">
        <v>0</v>
      </c>
      <c r="J11" s="558">
        <v>60000</v>
      </c>
      <c r="K11" s="558">
        <v>0</v>
      </c>
      <c r="L11" s="558">
        <v>60000</v>
      </c>
      <c r="M11" s="558">
        <v>60000</v>
      </c>
      <c r="N11" s="558">
        <v>60000</v>
      </c>
      <c r="O11" s="558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551">
        <v>128805</v>
      </c>
      <c r="C12" s="552">
        <v>3</v>
      </c>
      <c r="D12" s="553" t="s">
        <v>8</v>
      </c>
      <c r="E12" s="552">
        <v>142</v>
      </c>
      <c r="F12" s="559">
        <v>30000</v>
      </c>
      <c r="G12" s="559">
        <v>0</v>
      </c>
      <c r="H12" s="559">
        <v>30000</v>
      </c>
      <c r="I12" s="559">
        <v>0</v>
      </c>
      <c r="J12" s="559">
        <v>30000</v>
      </c>
      <c r="K12" s="559">
        <v>0</v>
      </c>
      <c r="L12" s="559">
        <v>30000</v>
      </c>
      <c r="M12" s="559">
        <v>2873.19</v>
      </c>
      <c r="N12" s="559">
        <v>2873.19</v>
      </c>
      <c r="O12" s="559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547">
        <v>128807</v>
      </c>
      <c r="C13" s="548">
        <v>3</v>
      </c>
      <c r="D13" s="549" t="s">
        <v>8</v>
      </c>
      <c r="E13" s="548">
        <v>142</v>
      </c>
      <c r="F13" s="558">
        <v>25000</v>
      </c>
      <c r="G13" s="558">
        <v>0</v>
      </c>
      <c r="H13" s="558">
        <v>25000</v>
      </c>
      <c r="I13" s="558">
        <v>0</v>
      </c>
      <c r="J13" s="558">
        <v>25000</v>
      </c>
      <c r="K13" s="558">
        <v>0</v>
      </c>
      <c r="L13" s="558">
        <v>25000</v>
      </c>
      <c r="M13" s="558">
        <v>25000</v>
      </c>
      <c r="N13" s="558">
        <v>25000</v>
      </c>
      <c r="O13" s="558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551">
        <v>128809</v>
      </c>
      <c r="C14" s="552">
        <v>3</v>
      </c>
      <c r="D14" s="553" t="s">
        <v>8</v>
      </c>
      <c r="E14" s="552">
        <v>142</v>
      </c>
      <c r="F14" s="559">
        <v>50000</v>
      </c>
      <c r="G14" s="559">
        <v>0</v>
      </c>
      <c r="H14" s="559">
        <v>50000</v>
      </c>
      <c r="I14" s="559">
        <v>0</v>
      </c>
      <c r="J14" s="559">
        <v>50000</v>
      </c>
      <c r="K14" s="559">
        <v>0</v>
      </c>
      <c r="L14" s="559">
        <v>50000</v>
      </c>
      <c r="M14" s="559">
        <v>24442.13</v>
      </c>
      <c r="N14" s="559">
        <v>24442.13</v>
      </c>
      <c r="O14" s="559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547">
        <v>128811</v>
      </c>
      <c r="C15" s="548">
        <v>3</v>
      </c>
      <c r="D15" s="549" t="s">
        <v>8</v>
      </c>
      <c r="E15" s="548">
        <v>142</v>
      </c>
      <c r="F15" s="558">
        <v>70000</v>
      </c>
      <c r="G15" s="558">
        <v>0</v>
      </c>
      <c r="H15" s="558">
        <v>70000</v>
      </c>
      <c r="I15" s="558">
        <v>0</v>
      </c>
      <c r="J15" s="558">
        <v>70000</v>
      </c>
      <c r="K15" s="558">
        <v>0</v>
      </c>
      <c r="L15" s="558">
        <v>70000</v>
      </c>
      <c r="M15" s="558">
        <v>119.919999999998</v>
      </c>
      <c r="N15" s="558">
        <v>119.92</v>
      </c>
      <c r="O15" s="558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551">
        <v>139605</v>
      </c>
      <c r="C16" s="552">
        <v>3</v>
      </c>
      <c r="D16" s="553" t="s">
        <v>8</v>
      </c>
      <c r="E16" s="552">
        <v>151</v>
      </c>
      <c r="F16" s="559">
        <v>322868</v>
      </c>
      <c r="G16" s="559">
        <v>0</v>
      </c>
      <c r="H16" s="559">
        <v>322868</v>
      </c>
      <c r="I16" s="559">
        <v>30000</v>
      </c>
      <c r="J16" s="559">
        <v>352868</v>
      </c>
      <c r="K16" s="559">
        <v>0</v>
      </c>
      <c r="L16" s="559">
        <v>352868</v>
      </c>
      <c r="M16" s="559">
        <v>154981.35</v>
      </c>
      <c r="N16" s="559">
        <v>154981.35</v>
      </c>
      <c r="O16" s="559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547">
        <v>174222</v>
      </c>
      <c r="C17" s="548">
        <v>1</v>
      </c>
      <c r="D17" s="549" t="s">
        <v>11</v>
      </c>
      <c r="E17" s="548">
        <v>100</v>
      </c>
      <c r="F17" s="558">
        <v>343663503</v>
      </c>
      <c r="G17" s="558">
        <v>-3436635</v>
      </c>
      <c r="H17" s="558">
        <v>340226868</v>
      </c>
      <c r="I17" s="558">
        <v>3436635</v>
      </c>
      <c r="J17" s="558">
        <v>343663503</v>
      </c>
      <c r="K17" s="558">
        <v>0</v>
      </c>
      <c r="L17" s="558">
        <v>343663503</v>
      </c>
      <c r="M17" s="558">
        <v>128721510.52</v>
      </c>
      <c r="N17" s="558">
        <v>128721510.52</v>
      </c>
      <c r="O17" s="558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551">
        <v>174224</v>
      </c>
      <c r="C18" s="552">
        <v>3</v>
      </c>
      <c r="D18" s="553" t="s">
        <v>8</v>
      </c>
      <c r="E18" s="552">
        <v>151</v>
      </c>
      <c r="F18" s="559">
        <v>25591140</v>
      </c>
      <c r="G18" s="559">
        <v>0</v>
      </c>
      <c r="H18" s="559">
        <v>25591140</v>
      </c>
      <c r="I18" s="559">
        <v>-25591140</v>
      </c>
      <c r="J18" s="559">
        <v>0</v>
      </c>
      <c r="K18" s="559">
        <v>0</v>
      </c>
      <c r="L18" s="559">
        <v>0</v>
      </c>
      <c r="M18" s="559">
        <v>-3726148.21</v>
      </c>
      <c r="N18" s="559"/>
      <c r="O18" s="559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547">
        <v>174224</v>
      </c>
      <c r="C19" s="548">
        <v>3</v>
      </c>
      <c r="D19" s="549" t="s">
        <v>8</v>
      </c>
      <c r="E19" s="548">
        <v>188</v>
      </c>
      <c r="F19" s="558"/>
      <c r="G19" s="558">
        <v>0</v>
      </c>
      <c r="H19" s="558">
        <v>0</v>
      </c>
      <c r="I19" s="558">
        <v>25591140</v>
      </c>
      <c r="J19" s="558">
        <v>25591140</v>
      </c>
      <c r="K19" s="558">
        <v>0</v>
      </c>
      <c r="L19" s="558">
        <v>25591140</v>
      </c>
      <c r="M19" s="558">
        <v>4571111.13</v>
      </c>
      <c r="N19" s="558">
        <v>4571111.13</v>
      </c>
      <c r="O19" s="558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551">
        <v>174225</v>
      </c>
      <c r="C20" s="552">
        <v>3</v>
      </c>
      <c r="D20" s="553" t="s">
        <v>8</v>
      </c>
      <c r="E20" s="552">
        <v>151</v>
      </c>
      <c r="F20" s="559">
        <v>997967</v>
      </c>
      <c r="G20" s="559">
        <v>0</v>
      </c>
      <c r="H20" s="559">
        <v>997967</v>
      </c>
      <c r="I20" s="559">
        <v>-997967</v>
      </c>
      <c r="J20" s="559">
        <v>0</v>
      </c>
      <c r="K20" s="559">
        <v>0</v>
      </c>
      <c r="L20" s="559">
        <v>0</v>
      </c>
      <c r="M20" s="559">
        <v>-48670</v>
      </c>
      <c r="N20" s="559"/>
      <c r="O20" s="559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547">
        <v>174225</v>
      </c>
      <c r="C21" s="548">
        <v>3</v>
      </c>
      <c r="D21" s="549" t="s">
        <v>8</v>
      </c>
      <c r="E21" s="548">
        <v>188</v>
      </c>
      <c r="F21" s="558"/>
      <c r="G21" s="558">
        <v>0</v>
      </c>
      <c r="H21" s="558">
        <v>0</v>
      </c>
      <c r="I21" s="558">
        <v>997967</v>
      </c>
      <c r="J21" s="558">
        <v>997967</v>
      </c>
      <c r="K21" s="558">
        <v>0</v>
      </c>
      <c r="L21" s="558">
        <v>997967</v>
      </c>
      <c r="M21" s="558">
        <v>529695.43000000005</v>
      </c>
      <c r="N21" s="558">
        <v>529695.43000000005</v>
      </c>
      <c r="O21" s="558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551">
        <v>174228</v>
      </c>
      <c r="C22" s="552">
        <v>3</v>
      </c>
      <c r="D22" s="553" t="s">
        <v>8</v>
      </c>
      <c r="E22" s="552">
        <v>142</v>
      </c>
      <c r="F22" s="559">
        <v>400000</v>
      </c>
      <c r="G22" s="559">
        <v>0</v>
      </c>
      <c r="H22" s="559">
        <v>400000</v>
      </c>
      <c r="I22" s="559">
        <v>-400000</v>
      </c>
      <c r="J22" s="559">
        <v>0</v>
      </c>
      <c r="K22" s="559">
        <v>0</v>
      </c>
      <c r="L22" s="559">
        <v>0</v>
      </c>
      <c r="M22" s="559">
        <v>0</v>
      </c>
      <c r="N22" s="559">
        <v>0</v>
      </c>
      <c r="O22" s="559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547">
        <v>174229</v>
      </c>
      <c r="C23" s="548">
        <v>3</v>
      </c>
      <c r="D23" s="549" t="s">
        <v>8</v>
      </c>
      <c r="E23" s="548">
        <v>142</v>
      </c>
      <c r="F23" s="558">
        <v>400000</v>
      </c>
      <c r="G23" s="558">
        <v>0</v>
      </c>
      <c r="H23" s="558">
        <v>400000</v>
      </c>
      <c r="I23" s="558">
        <v>-400000</v>
      </c>
      <c r="J23" s="558">
        <v>0</v>
      </c>
      <c r="K23" s="558">
        <v>0</v>
      </c>
      <c r="L23" s="558">
        <v>0</v>
      </c>
      <c r="M23" s="558">
        <v>0</v>
      </c>
      <c r="N23" s="558">
        <v>0</v>
      </c>
      <c r="O23" s="558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551">
        <v>174230</v>
      </c>
      <c r="C24" s="552">
        <v>3</v>
      </c>
      <c r="D24" s="553" t="s">
        <v>8</v>
      </c>
      <c r="E24" s="552">
        <v>142</v>
      </c>
      <c r="F24" s="559">
        <v>300000</v>
      </c>
      <c r="G24" s="559">
        <v>0</v>
      </c>
      <c r="H24" s="559">
        <v>300000</v>
      </c>
      <c r="I24" s="559">
        <v>100000</v>
      </c>
      <c r="J24" s="559">
        <v>400000</v>
      </c>
      <c r="K24" s="559">
        <v>0</v>
      </c>
      <c r="L24" s="559">
        <v>400000</v>
      </c>
      <c r="M24" s="559">
        <v>134483.98000000001</v>
      </c>
      <c r="N24" s="559">
        <v>134483.98000000001</v>
      </c>
      <c r="O24" s="559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547">
        <v>174231</v>
      </c>
      <c r="C25" s="548">
        <v>3</v>
      </c>
      <c r="D25" s="549" t="s">
        <v>8</v>
      </c>
      <c r="E25" s="548">
        <v>142</v>
      </c>
      <c r="F25" s="558">
        <v>400000</v>
      </c>
      <c r="G25" s="558">
        <v>0</v>
      </c>
      <c r="H25" s="558">
        <v>400000</v>
      </c>
      <c r="I25" s="558">
        <v>100000</v>
      </c>
      <c r="J25" s="558">
        <v>500000</v>
      </c>
      <c r="K25" s="558">
        <v>0</v>
      </c>
      <c r="L25" s="558">
        <v>500000</v>
      </c>
      <c r="M25" s="558">
        <v>38239.910000000003</v>
      </c>
      <c r="N25" s="558">
        <v>38239.910000000003</v>
      </c>
      <c r="O25" s="558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551">
        <v>174231</v>
      </c>
      <c r="C26" s="552">
        <v>4</v>
      </c>
      <c r="D26" s="553" t="s">
        <v>7</v>
      </c>
      <c r="E26" s="552">
        <v>142</v>
      </c>
      <c r="F26" s="559">
        <v>200000</v>
      </c>
      <c r="G26" s="559">
        <v>0</v>
      </c>
      <c r="H26" s="559">
        <v>200000</v>
      </c>
      <c r="I26" s="559">
        <v>81211</v>
      </c>
      <c r="J26" s="559">
        <v>281211</v>
      </c>
      <c r="K26" s="559">
        <v>0</v>
      </c>
      <c r="L26" s="559">
        <v>281211</v>
      </c>
      <c r="M26" s="559">
        <v>0.94000000000232797</v>
      </c>
      <c r="N26" s="559">
        <v>0.94</v>
      </c>
      <c r="O26" s="559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547">
        <v>174232</v>
      </c>
      <c r="C27" s="548">
        <v>3</v>
      </c>
      <c r="D27" s="549" t="s">
        <v>8</v>
      </c>
      <c r="E27" s="548">
        <v>100</v>
      </c>
      <c r="F27" s="558"/>
      <c r="G27" s="558">
        <v>4950000</v>
      </c>
      <c r="H27" s="558">
        <v>4950000</v>
      </c>
      <c r="I27" s="558">
        <v>0</v>
      </c>
      <c r="J27" s="558">
        <v>4950000</v>
      </c>
      <c r="K27" s="558">
        <v>0</v>
      </c>
      <c r="L27" s="558">
        <v>4950000</v>
      </c>
      <c r="M27" s="558">
        <v>0</v>
      </c>
      <c r="N27" s="558">
        <v>0</v>
      </c>
      <c r="O27" s="558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551">
        <v>174232</v>
      </c>
      <c r="C28" s="552">
        <v>3</v>
      </c>
      <c r="D28" s="553" t="s">
        <v>8</v>
      </c>
      <c r="E28" s="552">
        <v>142</v>
      </c>
      <c r="F28" s="559">
        <v>33000000</v>
      </c>
      <c r="G28" s="559">
        <v>-4950000</v>
      </c>
      <c r="H28" s="559">
        <v>28050000</v>
      </c>
      <c r="I28" s="559">
        <v>1200000</v>
      </c>
      <c r="J28" s="559">
        <v>29250000</v>
      </c>
      <c r="K28" s="559">
        <v>0</v>
      </c>
      <c r="L28" s="559">
        <v>29250000</v>
      </c>
      <c r="M28" s="559">
        <v>569229.59</v>
      </c>
      <c r="N28" s="559">
        <v>236307.64</v>
      </c>
      <c r="O28" s="559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547">
        <v>174232</v>
      </c>
      <c r="C29" s="548">
        <v>4</v>
      </c>
      <c r="D29" s="549" t="s">
        <v>7</v>
      </c>
      <c r="E29" s="548">
        <v>142</v>
      </c>
      <c r="F29" s="558">
        <v>2000000</v>
      </c>
      <c r="G29" s="558">
        <v>0</v>
      </c>
      <c r="H29" s="558">
        <v>2000000</v>
      </c>
      <c r="I29" s="558">
        <v>-1200000</v>
      </c>
      <c r="J29" s="558">
        <v>800000</v>
      </c>
      <c r="K29" s="558">
        <v>0</v>
      </c>
      <c r="L29" s="558">
        <v>800000</v>
      </c>
      <c r="M29" s="558">
        <v>5573.5899999999701</v>
      </c>
      <c r="N29" s="558">
        <v>5573.59</v>
      </c>
      <c r="O29" s="558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551">
        <v>174233</v>
      </c>
      <c r="C30" s="552">
        <v>3</v>
      </c>
      <c r="D30" s="553" t="s">
        <v>8</v>
      </c>
      <c r="E30" s="552">
        <v>142</v>
      </c>
      <c r="F30" s="559">
        <v>200000</v>
      </c>
      <c r="G30" s="559">
        <v>0</v>
      </c>
      <c r="H30" s="559">
        <v>200000</v>
      </c>
      <c r="I30" s="559">
        <v>0</v>
      </c>
      <c r="J30" s="559">
        <v>200000</v>
      </c>
      <c r="K30" s="559">
        <v>0</v>
      </c>
      <c r="L30" s="559">
        <v>200000</v>
      </c>
      <c r="M30" s="559">
        <v>0</v>
      </c>
      <c r="N30" s="559">
        <v>0</v>
      </c>
      <c r="O30" s="559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547">
        <v>174233</v>
      </c>
      <c r="C31" s="548">
        <v>4</v>
      </c>
      <c r="D31" s="549" t="s">
        <v>7</v>
      </c>
      <c r="E31" s="548">
        <v>142</v>
      </c>
      <c r="F31" s="558">
        <v>150000</v>
      </c>
      <c r="G31" s="558">
        <v>0</v>
      </c>
      <c r="H31" s="558">
        <v>150000</v>
      </c>
      <c r="I31" s="558">
        <v>0</v>
      </c>
      <c r="J31" s="558">
        <v>150000</v>
      </c>
      <c r="K31" s="558">
        <v>0</v>
      </c>
      <c r="L31" s="558">
        <v>150000</v>
      </c>
      <c r="M31" s="558">
        <v>1689.84</v>
      </c>
      <c r="N31" s="558">
        <v>1689.84</v>
      </c>
      <c r="O31" s="558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551">
        <v>174234</v>
      </c>
      <c r="C32" s="552">
        <v>3</v>
      </c>
      <c r="D32" s="553" t="s">
        <v>8</v>
      </c>
      <c r="E32" s="552">
        <v>142</v>
      </c>
      <c r="F32" s="559">
        <v>1000000</v>
      </c>
      <c r="G32" s="559">
        <v>0</v>
      </c>
      <c r="H32" s="559">
        <v>1000000</v>
      </c>
      <c r="I32" s="559">
        <v>0</v>
      </c>
      <c r="J32" s="559">
        <v>1000000</v>
      </c>
      <c r="K32" s="559">
        <v>0</v>
      </c>
      <c r="L32" s="559">
        <v>1000000</v>
      </c>
      <c r="M32" s="559">
        <v>0</v>
      </c>
      <c r="N32" s="559">
        <v>0</v>
      </c>
      <c r="O32" s="559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547">
        <v>174234</v>
      </c>
      <c r="C33" s="548">
        <v>4</v>
      </c>
      <c r="D33" s="549" t="s">
        <v>7</v>
      </c>
      <c r="E33" s="548">
        <v>142</v>
      </c>
      <c r="F33" s="558">
        <v>300000</v>
      </c>
      <c r="G33" s="558">
        <v>0</v>
      </c>
      <c r="H33" s="558">
        <v>300000</v>
      </c>
      <c r="I33" s="558">
        <v>700000</v>
      </c>
      <c r="J33" s="558">
        <v>1000000</v>
      </c>
      <c r="K33" s="558">
        <v>0</v>
      </c>
      <c r="L33" s="558">
        <v>1000000</v>
      </c>
      <c r="M33" s="558">
        <v>20031.38</v>
      </c>
      <c r="N33" s="558">
        <v>20031.38</v>
      </c>
      <c r="O33" s="558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551">
        <v>174235</v>
      </c>
      <c r="C34" s="552">
        <v>3</v>
      </c>
      <c r="D34" s="553" t="s">
        <v>8</v>
      </c>
      <c r="E34" s="552">
        <v>142</v>
      </c>
      <c r="F34" s="559">
        <v>200000</v>
      </c>
      <c r="G34" s="559">
        <v>0</v>
      </c>
      <c r="H34" s="559">
        <v>200000</v>
      </c>
      <c r="I34" s="559">
        <v>0</v>
      </c>
      <c r="J34" s="559">
        <v>200000</v>
      </c>
      <c r="K34" s="559">
        <v>0</v>
      </c>
      <c r="L34" s="559">
        <v>200000</v>
      </c>
      <c r="M34" s="559">
        <v>67955.83</v>
      </c>
      <c r="N34" s="559">
        <v>67955.83</v>
      </c>
      <c r="O34" s="559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547">
        <v>174236</v>
      </c>
      <c r="C35" s="548">
        <v>3</v>
      </c>
      <c r="D35" s="549" t="s">
        <v>8</v>
      </c>
      <c r="E35" s="548">
        <v>142</v>
      </c>
      <c r="F35" s="558">
        <v>200000</v>
      </c>
      <c r="G35" s="558">
        <v>0</v>
      </c>
      <c r="H35" s="558">
        <v>200000</v>
      </c>
      <c r="I35" s="558">
        <v>-50000</v>
      </c>
      <c r="J35" s="558">
        <v>150000</v>
      </c>
      <c r="K35" s="558">
        <v>0</v>
      </c>
      <c r="L35" s="558">
        <v>150000</v>
      </c>
      <c r="M35" s="558">
        <v>18380.48</v>
      </c>
      <c r="N35" s="558">
        <v>18380.48</v>
      </c>
      <c r="O35" s="558">
        <v>0</v>
      </c>
      <c r="P35" s="449">
        <f>+L35-O35</f>
        <v>150000</v>
      </c>
    </row>
    <row r="36" spans="1:16" ht="17.100000000000001" customHeight="1" x14ac:dyDescent="0.2">
      <c r="A36" s="446" t="str">
        <f t="shared" si="0"/>
        <v>174236-4-142</v>
      </c>
      <c r="B36" s="551">
        <v>174236</v>
      </c>
      <c r="C36" s="552">
        <v>4</v>
      </c>
      <c r="D36" s="553" t="s">
        <v>7</v>
      </c>
      <c r="E36" s="552">
        <v>142</v>
      </c>
      <c r="F36" s="559">
        <v>25000</v>
      </c>
      <c r="G36" s="559">
        <v>0</v>
      </c>
      <c r="H36" s="559">
        <v>25000</v>
      </c>
      <c r="I36" s="559">
        <v>-23614</v>
      </c>
      <c r="J36" s="559">
        <v>1386</v>
      </c>
      <c r="K36" s="559">
        <v>0</v>
      </c>
      <c r="L36" s="559">
        <v>1386</v>
      </c>
      <c r="M36" s="559">
        <v>0</v>
      </c>
      <c r="N36" s="559">
        <v>0</v>
      </c>
      <c r="O36" s="559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547">
        <v>174237</v>
      </c>
      <c r="C37" s="548">
        <v>3</v>
      </c>
      <c r="D37" s="549" t="s">
        <v>8</v>
      </c>
      <c r="E37" s="548">
        <v>142</v>
      </c>
      <c r="F37" s="558">
        <v>1305000</v>
      </c>
      <c r="G37" s="558">
        <v>0</v>
      </c>
      <c r="H37" s="558">
        <v>1305000</v>
      </c>
      <c r="I37" s="558">
        <v>-170832</v>
      </c>
      <c r="J37" s="558">
        <v>1134168</v>
      </c>
      <c r="K37" s="558">
        <v>0</v>
      </c>
      <c r="L37" s="558">
        <v>1134168</v>
      </c>
      <c r="M37" s="558">
        <v>341800.03</v>
      </c>
      <c r="N37" s="558">
        <v>68100.03</v>
      </c>
      <c r="O37" s="558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551">
        <v>174237</v>
      </c>
      <c r="C38" s="552">
        <v>4</v>
      </c>
      <c r="D38" s="553" t="s">
        <v>7</v>
      </c>
      <c r="E38" s="552">
        <v>142</v>
      </c>
      <c r="F38" s="559">
        <v>145000</v>
      </c>
      <c r="G38" s="559">
        <v>0</v>
      </c>
      <c r="H38" s="559">
        <v>145000</v>
      </c>
      <c r="I38" s="559">
        <v>0</v>
      </c>
      <c r="J38" s="559">
        <v>145000</v>
      </c>
      <c r="K38" s="559">
        <v>0</v>
      </c>
      <c r="L38" s="559">
        <v>145000</v>
      </c>
      <c r="M38" s="559">
        <v>0</v>
      </c>
      <c r="N38" s="559">
        <v>0</v>
      </c>
      <c r="O38" s="559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547">
        <v>174238</v>
      </c>
      <c r="C39" s="548">
        <v>3</v>
      </c>
      <c r="D39" s="549" t="s">
        <v>8</v>
      </c>
      <c r="E39" s="548">
        <v>142</v>
      </c>
      <c r="F39" s="558">
        <v>200000</v>
      </c>
      <c r="G39" s="558">
        <v>0</v>
      </c>
      <c r="H39" s="558">
        <v>200000</v>
      </c>
      <c r="I39" s="558">
        <v>0</v>
      </c>
      <c r="J39" s="558">
        <v>200000</v>
      </c>
      <c r="K39" s="558">
        <v>0</v>
      </c>
      <c r="L39" s="558">
        <v>200000</v>
      </c>
      <c r="M39" s="558">
        <v>33720.269999999997</v>
      </c>
      <c r="N39" s="558">
        <v>33720.269999999997</v>
      </c>
      <c r="O39" s="558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551">
        <v>174239</v>
      </c>
      <c r="C40" s="552">
        <v>3</v>
      </c>
      <c r="D40" s="553" t="s">
        <v>8</v>
      </c>
      <c r="E40" s="552">
        <v>142</v>
      </c>
      <c r="F40" s="559">
        <v>5692518</v>
      </c>
      <c r="G40" s="559">
        <v>0</v>
      </c>
      <c r="H40" s="559">
        <v>5692518</v>
      </c>
      <c r="I40" s="559">
        <v>0</v>
      </c>
      <c r="J40" s="559">
        <v>5692518</v>
      </c>
      <c r="K40" s="559">
        <v>0</v>
      </c>
      <c r="L40" s="559">
        <v>5692518</v>
      </c>
      <c r="M40" s="559">
        <v>235202.69</v>
      </c>
      <c r="N40" s="559">
        <v>235202.69</v>
      </c>
      <c r="O40" s="559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547">
        <v>174239</v>
      </c>
      <c r="C41" s="548">
        <v>4</v>
      </c>
      <c r="D41" s="549" t="s">
        <v>7</v>
      </c>
      <c r="E41" s="548">
        <v>142</v>
      </c>
      <c r="F41" s="558">
        <v>1000000</v>
      </c>
      <c r="G41" s="558">
        <v>0</v>
      </c>
      <c r="H41" s="558">
        <v>1000000</v>
      </c>
      <c r="I41" s="558">
        <v>0</v>
      </c>
      <c r="J41" s="558">
        <v>1000000</v>
      </c>
      <c r="K41" s="558">
        <v>0</v>
      </c>
      <c r="L41" s="558">
        <v>1000000</v>
      </c>
      <c r="M41" s="558">
        <v>78853.45</v>
      </c>
      <c r="N41" s="558">
        <v>78853.45</v>
      </c>
      <c r="O41" s="558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551">
        <v>174239</v>
      </c>
      <c r="C42" s="552">
        <v>3</v>
      </c>
      <c r="D42" s="553" t="s">
        <v>8</v>
      </c>
      <c r="E42" s="552">
        <v>150</v>
      </c>
      <c r="F42" s="559">
        <v>1807482</v>
      </c>
      <c r="G42" s="559">
        <v>0</v>
      </c>
      <c r="H42" s="559">
        <v>1807482</v>
      </c>
      <c r="I42" s="559">
        <v>0</v>
      </c>
      <c r="J42" s="559">
        <v>1807482</v>
      </c>
      <c r="K42" s="559">
        <v>0</v>
      </c>
      <c r="L42" s="559">
        <v>1807482</v>
      </c>
      <c r="M42" s="559">
        <v>68556.5</v>
      </c>
      <c r="N42" s="559">
        <v>68556.5</v>
      </c>
      <c r="O42" s="559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547">
        <v>174240</v>
      </c>
      <c r="C43" s="548">
        <v>3</v>
      </c>
      <c r="D43" s="549" t="s">
        <v>8</v>
      </c>
      <c r="E43" s="548">
        <v>142</v>
      </c>
      <c r="F43" s="558">
        <v>1408632</v>
      </c>
      <c r="G43" s="558">
        <v>0</v>
      </c>
      <c r="H43" s="558">
        <v>1408632</v>
      </c>
      <c r="I43" s="558">
        <v>-976723</v>
      </c>
      <c r="J43" s="558">
        <v>431909</v>
      </c>
      <c r="K43" s="558">
        <v>0</v>
      </c>
      <c r="L43" s="558">
        <v>431909</v>
      </c>
      <c r="M43" s="558">
        <v>92598.01</v>
      </c>
      <c r="N43" s="558">
        <v>92598.01</v>
      </c>
      <c r="O43" s="558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551">
        <v>174240</v>
      </c>
      <c r="C44" s="552">
        <v>4</v>
      </c>
      <c r="D44" s="553" t="s">
        <v>7</v>
      </c>
      <c r="E44" s="552">
        <v>142</v>
      </c>
      <c r="F44" s="559">
        <v>91368</v>
      </c>
      <c r="G44" s="559">
        <v>0</v>
      </c>
      <c r="H44" s="559">
        <v>91368</v>
      </c>
      <c r="I44" s="559">
        <v>800000</v>
      </c>
      <c r="J44" s="559">
        <v>891368</v>
      </c>
      <c r="K44" s="559">
        <v>0</v>
      </c>
      <c r="L44" s="559">
        <v>891368</v>
      </c>
      <c r="M44" s="559">
        <v>497</v>
      </c>
      <c r="N44" s="559">
        <v>497</v>
      </c>
      <c r="O44" s="559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547">
        <v>174241</v>
      </c>
      <c r="C45" s="548">
        <v>3</v>
      </c>
      <c r="D45" s="549" t="s">
        <v>8</v>
      </c>
      <c r="E45" s="548">
        <v>142</v>
      </c>
      <c r="F45" s="558">
        <v>1999999</v>
      </c>
      <c r="G45" s="558">
        <v>0</v>
      </c>
      <c r="H45" s="558">
        <v>1999999</v>
      </c>
      <c r="I45" s="558">
        <v>239000</v>
      </c>
      <c r="J45" s="558">
        <v>2238999</v>
      </c>
      <c r="K45" s="558">
        <v>0</v>
      </c>
      <c r="L45" s="558">
        <v>2238999</v>
      </c>
      <c r="M45" s="558">
        <v>8938.4100000001508</v>
      </c>
      <c r="N45" s="558">
        <v>8938.41</v>
      </c>
      <c r="O45" s="558"/>
      <c r="P45" s="449">
        <f>+L45-O45</f>
        <v>2238999</v>
      </c>
    </row>
    <row r="46" spans="1:16" ht="17.100000000000001" customHeight="1" x14ac:dyDescent="0.2">
      <c r="A46" s="446" t="str">
        <f t="shared" si="2"/>
        <v>174241-4-142</v>
      </c>
      <c r="B46" s="551">
        <v>174241</v>
      </c>
      <c r="C46" s="552">
        <v>4</v>
      </c>
      <c r="D46" s="553" t="s">
        <v>7</v>
      </c>
      <c r="E46" s="552">
        <v>142</v>
      </c>
      <c r="F46" s="559">
        <v>1000000</v>
      </c>
      <c r="G46" s="559">
        <v>0</v>
      </c>
      <c r="H46" s="559">
        <v>1000000</v>
      </c>
      <c r="I46" s="559">
        <v>0</v>
      </c>
      <c r="J46" s="559">
        <v>1000000</v>
      </c>
      <c r="K46" s="559">
        <v>0</v>
      </c>
      <c r="L46" s="559">
        <v>1000000</v>
      </c>
      <c r="M46" s="559">
        <v>44656.5600000001</v>
      </c>
      <c r="N46" s="559">
        <v>44656.56</v>
      </c>
      <c r="O46" s="559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547">
        <v>174242</v>
      </c>
      <c r="C47" s="548">
        <v>3</v>
      </c>
      <c r="D47" s="549" t="s">
        <v>8</v>
      </c>
      <c r="E47" s="548">
        <v>142</v>
      </c>
      <c r="F47" s="558">
        <v>1490000</v>
      </c>
      <c r="G47" s="558">
        <v>0</v>
      </c>
      <c r="H47" s="558">
        <v>1490000</v>
      </c>
      <c r="I47" s="558">
        <v>2050000</v>
      </c>
      <c r="J47" s="558">
        <v>3540000</v>
      </c>
      <c r="K47" s="558">
        <v>0</v>
      </c>
      <c r="L47" s="558">
        <v>3540000</v>
      </c>
      <c r="M47" s="558">
        <v>194372.52</v>
      </c>
      <c r="N47" s="558">
        <v>194372.52</v>
      </c>
      <c r="O47" s="558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551">
        <v>174242</v>
      </c>
      <c r="C48" s="552">
        <v>4</v>
      </c>
      <c r="D48" s="553" t="s">
        <v>7</v>
      </c>
      <c r="E48" s="552">
        <v>142</v>
      </c>
      <c r="F48" s="559">
        <v>1700000</v>
      </c>
      <c r="G48" s="559">
        <v>0</v>
      </c>
      <c r="H48" s="559">
        <v>1700000</v>
      </c>
      <c r="I48" s="559">
        <v>0</v>
      </c>
      <c r="J48" s="559">
        <v>1700000</v>
      </c>
      <c r="K48" s="559">
        <v>0</v>
      </c>
      <c r="L48" s="559">
        <v>1700000</v>
      </c>
      <c r="M48" s="559">
        <v>8561.75</v>
      </c>
      <c r="N48" s="559">
        <v>8561.75</v>
      </c>
      <c r="O48" s="559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547">
        <v>174243</v>
      </c>
      <c r="C49" s="548">
        <v>3</v>
      </c>
      <c r="D49" s="549" t="s">
        <v>8</v>
      </c>
      <c r="E49" s="548">
        <v>142</v>
      </c>
      <c r="F49" s="558">
        <v>200000</v>
      </c>
      <c r="G49" s="558">
        <v>0</v>
      </c>
      <c r="H49" s="558">
        <v>200000</v>
      </c>
      <c r="I49" s="558">
        <v>0</v>
      </c>
      <c r="J49" s="558">
        <v>200000</v>
      </c>
      <c r="K49" s="558">
        <v>0</v>
      </c>
      <c r="L49" s="558">
        <v>200000</v>
      </c>
      <c r="M49" s="558">
        <v>61226.16</v>
      </c>
      <c r="N49" s="558">
        <v>61226.16</v>
      </c>
      <c r="O49" s="558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551">
        <v>174244</v>
      </c>
      <c r="C50" s="552">
        <v>3</v>
      </c>
      <c r="D50" s="553" t="s">
        <v>8</v>
      </c>
      <c r="E50" s="552">
        <v>142</v>
      </c>
      <c r="F50" s="559">
        <v>200000</v>
      </c>
      <c r="G50" s="559">
        <v>0</v>
      </c>
      <c r="H50" s="559">
        <v>200000</v>
      </c>
      <c r="I50" s="559">
        <v>0</v>
      </c>
      <c r="J50" s="559">
        <v>200000</v>
      </c>
      <c r="K50" s="559">
        <v>0</v>
      </c>
      <c r="L50" s="559">
        <v>200000</v>
      </c>
      <c r="M50" s="559">
        <v>4988.5199999999904</v>
      </c>
      <c r="N50" s="559">
        <v>4988.5200000000004</v>
      </c>
      <c r="O50" s="559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547">
        <v>174245</v>
      </c>
      <c r="C51" s="548">
        <v>3</v>
      </c>
      <c r="D51" s="549" t="s">
        <v>8</v>
      </c>
      <c r="E51" s="548">
        <v>142</v>
      </c>
      <c r="F51" s="558">
        <v>3539578</v>
      </c>
      <c r="G51" s="558">
        <v>0</v>
      </c>
      <c r="H51" s="558">
        <v>3539578</v>
      </c>
      <c r="I51" s="558">
        <v>0</v>
      </c>
      <c r="J51" s="558">
        <v>3539578</v>
      </c>
      <c r="K51" s="558">
        <v>0</v>
      </c>
      <c r="L51" s="558">
        <v>3539578</v>
      </c>
      <c r="M51" s="558">
        <v>226454.19</v>
      </c>
      <c r="N51" s="558">
        <v>226454.19</v>
      </c>
      <c r="O51" s="558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551">
        <v>174245</v>
      </c>
      <c r="C52" s="552">
        <v>4</v>
      </c>
      <c r="D52" s="553" t="s">
        <v>7</v>
      </c>
      <c r="E52" s="552">
        <v>142</v>
      </c>
      <c r="F52" s="559">
        <v>2460422</v>
      </c>
      <c r="G52" s="559">
        <v>0</v>
      </c>
      <c r="H52" s="559">
        <v>2460422</v>
      </c>
      <c r="I52" s="559">
        <v>0</v>
      </c>
      <c r="J52" s="559">
        <v>2460422</v>
      </c>
      <c r="K52" s="559">
        <v>0</v>
      </c>
      <c r="L52" s="559">
        <v>2460422</v>
      </c>
      <c r="M52" s="559">
        <v>47930.339999999902</v>
      </c>
      <c r="N52" s="559">
        <v>47930.34</v>
      </c>
      <c r="O52" s="559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547">
        <v>174246</v>
      </c>
      <c r="C53" s="548">
        <v>3</v>
      </c>
      <c r="D53" s="549" t="s">
        <v>8</v>
      </c>
      <c r="E53" s="548">
        <v>142</v>
      </c>
      <c r="F53" s="558">
        <v>300000</v>
      </c>
      <c r="G53" s="558">
        <v>0</v>
      </c>
      <c r="H53" s="558">
        <v>300000</v>
      </c>
      <c r="I53" s="558">
        <v>-50000</v>
      </c>
      <c r="J53" s="558">
        <v>250000</v>
      </c>
      <c r="K53" s="558">
        <v>0</v>
      </c>
      <c r="L53" s="558">
        <v>250000</v>
      </c>
      <c r="M53" s="558">
        <v>4670.0199999999904</v>
      </c>
      <c r="N53" s="558">
        <v>4670.0200000000004</v>
      </c>
      <c r="O53" s="558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551">
        <v>174247</v>
      </c>
      <c r="C54" s="552">
        <v>3</v>
      </c>
      <c r="D54" s="553" t="s">
        <v>8</v>
      </c>
      <c r="E54" s="552">
        <v>142</v>
      </c>
      <c r="F54" s="559">
        <v>275000</v>
      </c>
      <c r="G54" s="559">
        <v>0</v>
      </c>
      <c r="H54" s="559">
        <v>275000</v>
      </c>
      <c r="I54" s="559">
        <v>0</v>
      </c>
      <c r="J54" s="559">
        <v>275000</v>
      </c>
      <c r="K54" s="559">
        <v>0</v>
      </c>
      <c r="L54" s="559">
        <v>275000</v>
      </c>
      <c r="M54" s="559">
        <v>107751.27</v>
      </c>
      <c r="N54" s="559">
        <v>107751.27</v>
      </c>
      <c r="O54" s="559"/>
      <c r="P54" s="448">
        <f t="shared" si="1"/>
        <v>275000</v>
      </c>
    </row>
    <row r="55" spans="1:17" ht="17.100000000000001" customHeight="1" x14ac:dyDescent="0.2">
      <c r="A55" s="446" t="str">
        <f t="shared" si="2"/>
        <v>174248-3-142</v>
      </c>
      <c r="B55" s="547">
        <v>174248</v>
      </c>
      <c r="C55" s="548">
        <v>3</v>
      </c>
      <c r="D55" s="549" t="s">
        <v>8</v>
      </c>
      <c r="E55" s="548">
        <v>142</v>
      </c>
      <c r="F55" s="558">
        <v>2365000</v>
      </c>
      <c r="G55" s="558">
        <v>0</v>
      </c>
      <c r="H55" s="558">
        <v>2365000</v>
      </c>
      <c r="I55" s="558">
        <v>0</v>
      </c>
      <c r="J55" s="558">
        <v>2365000</v>
      </c>
      <c r="K55" s="558">
        <v>0</v>
      </c>
      <c r="L55" s="558">
        <v>2365000</v>
      </c>
      <c r="M55" s="558">
        <v>2365000</v>
      </c>
      <c r="N55" s="558">
        <v>2365000</v>
      </c>
      <c r="O55" s="558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551">
        <v>174249</v>
      </c>
      <c r="C56" s="552">
        <v>3</v>
      </c>
      <c r="D56" s="553" t="s">
        <v>8</v>
      </c>
      <c r="E56" s="552">
        <v>142</v>
      </c>
      <c r="F56" s="559">
        <v>900000</v>
      </c>
      <c r="G56" s="559">
        <v>0</v>
      </c>
      <c r="H56" s="559">
        <v>900000</v>
      </c>
      <c r="I56" s="559">
        <v>-400000</v>
      </c>
      <c r="J56" s="559">
        <v>500000</v>
      </c>
      <c r="K56" s="559">
        <v>0</v>
      </c>
      <c r="L56" s="559">
        <v>500000</v>
      </c>
      <c r="M56" s="559">
        <v>138442.96</v>
      </c>
      <c r="N56" s="559">
        <v>138442.96</v>
      </c>
      <c r="O56" s="559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547">
        <v>174249</v>
      </c>
      <c r="C57" s="548">
        <v>4</v>
      </c>
      <c r="D57" s="549" t="s">
        <v>7</v>
      </c>
      <c r="E57" s="548">
        <v>142</v>
      </c>
      <c r="F57" s="558">
        <v>300000</v>
      </c>
      <c r="G57" s="558">
        <v>0</v>
      </c>
      <c r="H57" s="558">
        <v>300000</v>
      </c>
      <c r="I57" s="558">
        <v>0</v>
      </c>
      <c r="J57" s="558">
        <v>300000</v>
      </c>
      <c r="K57" s="558">
        <v>0</v>
      </c>
      <c r="L57" s="558">
        <v>300000</v>
      </c>
      <c r="M57" s="558">
        <v>280</v>
      </c>
      <c r="N57" s="558">
        <v>280</v>
      </c>
      <c r="O57" s="558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551">
        <v>174250</v>
      </c>
      <c r="C58" s="552">
        <v>3</v>
      </c>
      <c r="D58" s="553" t="s">
        <v>8</v>
      </c>
      <c r="E58" s="552">
        <v>142</v>
      </c>
      <c r="F58" s="559">
        <v>1579000</v>
      </c>
      <c r="G58" s="559">
        <v>0</v>
      </c>
      <c r="H58" s="559">
        <v>1579000</v>
      </c>
      <c r="I58" s="559">
        <v>0</v>
      </c>
      <c r="J58" s="559">
        <v>1579000</v>
      </c>
      <c r="K58" s="559">
        <v>0</v>
      </c>
      <c r="L58" s="559">
        <v>1579000</v>
      </c>
      <c r="M58" s="559">
        <v>0</v>
      </c>
      <c r="N58" s="559">
        <v>0</v>
      </c>
      <c r="O58" s="559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547">
        <v>174250</v>
      </c>
      <c r="C59" s="548">
        <v>4</v>
      </c>
      <c r="D59" s="549" t="s">
        <v>7</v>
      </c>
      <c r="E59" s="548">
        <v>142</v>
      </c>
      <c r="F59" s="558">
        <v>800000</v>
      </c>
      <c r="G59" s="558">
        <v>0</v>
      </c>
      <c r="H59" s="558">
        <v>800000</v>
      </c>
      <c r="I59" s="558">
        <v>-353445</v>
      </c>
      <c r="J59" s="558">
        <v>446555</v>
      </c>
      <c r="K59" s="558">
        <v>0</v>
      </c>
      <c r="L59" s="558">
        <v>446555</v>
      </c>
      <c r="M59" s="558">
        <v>233839</v>
      </c>
      <c r="N59" s="558">
        <v>233839</v>
      </c>
      <c r="O59" s="558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551">
        <v>174251</v>
      </c>
      <c r="C60" s="552">
        <v>3</v>
      </c>
      <c r="D60" s="553" t="s">
        <v>8</v>
      </c>
      <c r="E60" s="552">
        <v>142</v>
      </c>
      <c r="F60" s="559">
        <v>200000</v>
      </c>
      <c r="G60" s="559">
        <v>0</v>
      </c>
      <c r="H60" s="559">
        <v>200000</v>
      </c>
      <c r="I60" s="559">
        <v>-200000</v>
      </c>
      <c r="J60" s="559">
        <v>0</v>
      </c>
      <c r="K60" s="559">
        <v>0</v>
      </c>
      <c r="L60" s="559">
        <v>0</v>
      </c>
      <c r="M60" s="559">
        <v>0</v>
      </c>
      <c r="N60" s="559">
        <v>0</v>
      </c>
      <c r="O60" s="559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547">
        <v>174252</v>
      </c>
      <c r="C61" s="548">
        <v>3</v>
      </c>
      <c r="D61" s="549" t="s">
        <v>8</v>
      </c>
      <c r="E61" s="548">
        <v>142</v>
      </c>
      <c r="F61" s="558">
        <v>3400000</v>
      </c>
      <c r="G61" s="558">
        <v>0</v>
      </c>
      <c r="H61" s="558">
        <v>3400000</v>
      </c>
      <c r="I61" s="558">
        <v>-1250000</v>
      </c>
      <c r="J61" s="558">
        <v>2150000</v>
      </c>
      <c r="K61" s="558">
        <v>0</v>
      </c>
      <c r="L61" s="558">
        <v>2150000</v>
      </c>
      <c r="M61" s="558">
        <v>5100.4100000001499</v>
      </c>
      <c r="N61" s="558">
        <v>5100.41</v>
      </c>
      <c r="O61" s="558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551">
        <v>174253</v>
      </c>
      <c r="C62" s="552">
        <v>3</v>
      </c>
      <c r="D62" s="553" t="s">
        <v>8</v>
      </c>
      <c r="E62" s="552">
        <v>142</v>
      </c>
      <c r="F62" s="559">
        <v>350000</v>
      </c>
      <c r="G62" s="559">
        <v>0</v>
      </c>
      <c r="H62" s="559">
        <v>350000</v>
      </c>
      <c r="I62" s="559">
        <v>-29037</v>
      </c>
      <c r="J62" s="559">
        <v>320963</v>
      </c>
      <c r="K62" s="559">
        <v>0</v>
      </c>
      <c r="L62" s="559">
        <v>320963</v>
      </c>
      <c r="M62" s="559">
        <v>85146.85</v>
      </c>
      <c r="N62" s="559">
        <v>85146.85</v>
      </c>
      <c r="O62" s="559">
        <v>0</v>
      </c>
      <c r="P62" s="448">
        <f t="shared" si="1"/>
        <v>320963</v>
      </c>
    </row>
    <row r="63" spans="1:17" ht="17.100000000000001" customHeight="1" x14ac:dyDescent="0.2">
      <c r="A63" s="446" t="str">
        <f t="shared" si="3"/>
        <v>174254-3-142</v>
      </c>
      <c r="B63" s="547">
        <v>174254</v>
      </c>
      <c r="C63" s="548">
        <v>3</v>
      </c>
      <c r="D63" s="549" t="s">
        <v>8</v>
      </c>
      <c r="E63" s="548">
        <v>142</v>
      </c>
      <c r="F63" s="558">
        <v>980000</v>
      </c>
      <c r="G63" s="558">
        <v>0</v>
      </c>
      <c r="H63" s="558">
        <v>980000</v>
      </c>
      <c r="I63" s="558">
        <v>-153000</v>
      </c>
      <c r="J63" s="558">
        <v>827000</v>
      </c>
      <c r="K63" s="558">
        <v>0</v>
      </c>
      <c r="L63" s="558">
        <v>827000</v>
      </c>
      <c r="M63" s="558">
        <v>127740.17</v>
      </c>
      <c r="N63" s="558">
        <v>127740.17</v>
      </c>
      <c r="O63" s="558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551">
        <v>174255</v>
      </c>
      <c r="C64" s="552">
        <v>3</v>
      </c>
      <c r="D64" s="553" t="s">
        <v>8</v>
      </c>
      <c r="E64" s="552">
        <v>142</v>
      </c>
      <c r="F64" s="559">
        <v>421000</v>
      </c>
      <c r="G64" s="559">
        <v>0</v>
      </c>
      <c r="H64" s="559">
        <v>421000</v>
      </c>
      <c r="I64" s="559">
        <v>0</v>
      </c>
      <c r="J64" s="559">
        <v>421000</v>
      </c>
      <c r="K64" s="559">
        <v>0</v>
      </c>
      <c r="L64" s="559">
        <v>421000</v>
      </c>
      <c r="M64" s="559">
        <v>0</v>
      </c>
      <c r="N64" s="559">
        <v>0</v>
      </c>
      <c r="O64" s="559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547">
        <v>174256</v>
      </c>
      <c r="C65" s="548">
        <v>3</v>
      </c>
      <c r="D65" s="549" t="s">
        <v>8</v>
      </c>
      <c r="E65" s="548">
        <v>142</v>
      </c>
      <c r="F65" s="558">
        <v>300000</v>
      </c>
      <c r="G65" s="558">
        <v>0</v>
      </c>
      <c r="H65" s="558">
        <v>300000</v>
      </c>
      <c r="I65" s="558">
        <v>0</v>
      </c>
      <c r="J65" s="558">
        <v>300000</v>
      </c>
      <c r="K65" s="558">
        <v>0</v>
      </c>
      <c r="L65" s="558">
        <v>300000</v>
      </c>
      <c r="M65" s="558">
        <v>1953.01000000001</v>
      </c>
      <c r="N65" s="558">
        <v>1953.01</v>
      </c>
      <c r="O65" s="558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551">
        <v>174257</v>
      </c>
      <c r="C66" s="552">
        <v>3</v>
      </c>
      <c r="D66" s="553" t="s">
        <v>8</v>
      </c>
      <c r="E66" s="552">
        <v>142</v>
      </c>
      <c r="F66" s="559">
        <v>3913610</v>
      </c>
      <c r="G66" s="559">
        <v>0</v>
      </c>
      <c r="H66" s="559">
        <v>3913610</v>
      </c>
      <c r="I66" s="559">
        <v>0</v>
      </c>
      <c r="J66" s="559">
        <v>3913610</v>
      </c>
      <c r="K66" s="559">
        <v>0</v>
      </c>
      <c r="L66" s="559">
        <v>3913610</v>
      </c>
      <c r="M66" s="559">
        <v>0</v>
      </c>
      <c r="N66" s="559">
        <v>0</v>
      </c>
      <c r="O66" s="559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547">
        <v>174257</v>
      </c>
      <c r="C67" s="548">
        <v>4</v>
      </c>
      <c r="D67" s="549" t="s">
        <v>7</v>
      </c>
      <c r="E67" s="548">
        <v>142</v>
      </c>
      <c r="F67" s="558">
        <v>197500</v>
      </c>
      <c r="G67" s="558">
        <v>0</v>
      </c>
      <c r="H67" s="558">
        <v>197500</v>
      </c>
      <c r="I67" s="558">
        <v>0</v>
      </c>
      <c r="J67" s="558">
        <v>197500</v>
      </c>
      <c r="K67" s="558">
        <v>0</v>
      </c>
      <c r="L67" s="558">
        <v>197500</v>
      </c>
      <c r="M67" s="558">
        <v>7500</v>
      </c>
      <c r="N67" s="558">
        <v>7500</v>
      </c>
      <c r="O67" s="558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551">
        <v>174258</v>
      </c>
      <c r="C68" s="552">
        <v>3</v>
      </c>
      <c r="D68" s="553" t="s">
        <v>8</v>
      </c>
      <c r="E68" s="552">
        <v>142</v>
      </c>
      <c r="F68" s="559">
        <v>1800000</v>
      </c>
      <c r="G68" s="559">
        <v>0</v>
      </c>
      <c r="H68" s="559">
        <v>1800000</v>
      </c>
      <c r="I68" s="559">
        <v>-305000</v>
      </c>
      <c r="J68" s="559">
        <v>1495000</v>
      </c>
      <c r="K68" s="559">
        <v>0</v>
      </c>
      <c r="L68" s="559">
        <v>1495000</v>
      </c>
      <c r="M68" s="559">
        <v>1606.68999999994</v>
      </c>
      <c r="N68" s="559">
        <v>1606.69</v>
      </c>
      <c r="O68" s="559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547">
        <v>174258</v>
      </c>
      <c r="C69" s="548">
        <v>4</v>
      </c>
      <c r="D69" s="549" t="s">
        <v>7</v>
      </c>
      <c r="E69" s="548">
        <v>142</v>
      </c>
      <c r="F69" s="558">
        <v>1400000</v>
      </c>
      <c r="G69" s="558">
        <v>0</v>
      </c>
      <c r="H69" s="558">
        <v>1400000</v>
      </c>
      <c r="I69" s="558">
        <v>-639075</v>
      </c>
      <c r="J69" s="558">
        <v>760925</v>
      </c>
      <c r="K69" s="558">
        <v>0</v>
      </c>
      <c r="L69" s="558">
        <v>760925</v>
      </c>
      <c r="M69" s="558">
        <v>86121</v>
      </c>
      <c r="N69" s="558">
        <v>86121</v>
      </c>
      <c r="O69" s="558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551">
        <v>174259</v>
      </c>
      <c r="C70" s="552">
        <v>3</v>
      </c>
      <c r="D70" s="553" t="s">
        <v>8</v>
      </c>
      <c r="E70" s="552">
        <v>142</v>
      </c>
      <c r="F70" s="559">
        <v>150000</v>
      </c>
      <c r="G70" s="559">
        <v>0</v>
      </c>
      <c r="H70" s="559">
        <v>150000</v>
      </c>
      <c r="I70" s="559">
        <v>0</v>
      </c>
      <c r="J70" s="559">
        <v>150000</v>
      </c>
      <c r="K70" s="559">
        <v>0</v>
      </c>
      <c r="L70" s="559">
        <v>150000</v>
      </c>
      <c r="M70" s="559">
        <v>3210.1099999999901</v>
      </c>
      <c r="N70" s="559">
        <v>3210.11</v>
      </c>
      <c r="O70" s="559"/>
      <c r="P70" s="448">
        <f t="shared" si="1"/>
        <v>150000</v>
      </c>
    </row>
    <row r="71" spans="1:16" ht="17.100000000000001" customHeight="1" x14ac:dyDescent="0.2">
      <c r="A71" s="446" t="str">
        <f t="shared" si="3"/>
        <v>174260-3-142</v>
      </c>
      <c r="B71" s="547">
        <v>174260</v>
      </c>
      <c r="C71" s="548">
        <v>3</v>
      </c>
      <c r="D71" s="549" t="s">
        <v>8</v>
      </c>
      <c r="E71" s="548">
        <v>142</v>
      </c>
      <c r="F71" s="558">
        <v>1685000</v>
      </c>
      <c r="G71" s="558">
        <v>0</v>
      </c>
      <c r="H71" s="558">
        <v>1685000</v>
      </c>
      <c r="I71" s="558">
        <v>-107000</v>
      </c>
      <c r="J71" s="558">
        <v>1578000</v>
      </c>
      <c r="K71" s="558">
        <v>0</v>
      </c>
      <c r="L71" s="558">
        <v>1578000</v>
      </c>
      <c r="M71" s="558">
        <v>14924.26</v>
      </c>
      <c r="N71" s="558">
        <v>14924.26</v>
      </c>
      <c r="O71" s="558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551">
        <v>174261</v>
      </c>
      <c r="C72" s="552">
        <v>3</v>
      </c>
      <c r="D72" s="553" t="s">
        <v>8</v>
      </c>
      <c r="E72" s="552">
        <v>142</v>
      </c>
      <c r="F72" s="559">
        <v>16000000</v>
      </c>
      <c r="G72" s="559">
        <v>0</v>
      </c>
      <c r="H72" s="559">
        <v>16000000</v>
      </c>
      <c r="I72" s="559">
        <v>-1100000</v>
      </c>
      <c r="J72" s="559">
        <v>14900000</v>
      </c>
      <c r="K72" s="559">
        <v>0</v>
      </c>
      <c r="L72" s="559">
        <v>14900000</v>
      </c>
      <c r="M72" s="559">
        <v>0.31000000052154097</v>
      </c>
      <c r="N72" s="559">
        <v>0.31</v>
      </c>
      <c r="O72" s="559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547">
        <v>174262</v>
      </c>
      <c r="C73" s="548">
        <v>3</v>
      </c>
      <c r="D73" s="549" t="s">
        <v>8</v>
      </c>
      <c r="E73" s="548">
        <v>142</v>
      </c>
      <c r="F73" s="558">
        <v>2126000</v>
      </c>
      <c r="G73" s="558">
        <v>0</v>
      </c>
      <c r="H73" s="558">
        <v>2126000</v>
      </c>
      <c r="I73" s="558">
        <v>0</v>
      </c>
      <c r="J73" s="558">
        <v>2126000</v>
      </c>
      <c r="K73" s="558">
        <v>0</v>
      </c>
      <c r="L73" s="558">
        <v>2126000</v>
      </c>
      <c r="M73" s="558">
        <v>146277.48000000001</v>
      </c>
      <c r="N73" s="558">
        <v>146277.48000000001</v>
      </c>
      <c r="O73" s="558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551">
        <v>174262</v>
      </c>
      <c r="C74" s="552">
        <v>4</v>
      </c>
      <c r="D74" s="553" t="s">
        <v>7</v>
      </c>
      <c r="E74" s="552">
        <v>142</v>
      </c>
      <c r="F74" s="559">
        <v>495000</v>
      </c>
      <c r="G74" s="559">
        <v>0</v>
      </c>
      <c r="H74" s="559">
        <v>495000</v>
      </c>
      <c r="I74" s="559">
        <v>0</v>
      </c>
      <c r="J74" s="559">
        <v>495000</v>
      </c>
      <c r="K74" s="559">
        <v>0</v>
      </c>
      <c r="L74" s="559">
        <v>495000</v>
      </c>
      <c r="M74" s="559">
        <v>5711.2000000000098</v>
      </c>
      <c r="N74" s="559">
        <v>5711.2</v>
      </c>
      <c r="O74" s="559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547">
        <v>174263</v>
      </c>
      <c r="C75" s="548">
        <v>3</v>
      </c>
      <c r="D75" s="549" t="s">
        <v>8</v>
      </c>
      <c r="E75" s="548">
        <v>142</v>
      </c>
      <c r="F75" s="558">
        <v>700000</v>
      </c>
      <c r="G75" s="558">
        <v>0</v>
      </c>
      <c r="H75" s="558">
        <v>700000</v>
      </c>
      <c r="I75" s="558">
        <v>-45000</v>
      </c>
      <c r="J75" s="558">
        <v>655000</v>
      </c>
      <c r="K75" s="558">
        <v>0</v>
      </c>
      <c r="L75" s="558">
        <v>655000</v>
      </c>
      <c r="M75" s="558">
        <v>37843.58</v>
      </c>
      <c r="N75" s="558">
        <v>37843.58</v>
      </c>
      <c r="O75" s="558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551">
        <v>174263</v>
      </c>
      <c r="C76" s="552">
        <v>4</v>
      </c>
      <c r="D76" s="553" t="s">
        <v>7</v>
      </c>
      <c r="E76" s="552">
        <v>142</v>
      </c>
      <c r="F76" s="559">
        <v>100000</v>
      </c>
      <c r="G76" s="559">
        <v>0</v>
      </c>
      <c r="H76" s="559">
        <v>100000</v>
      </c>
      <c r="I76" s="559">
        <v>400000</v>
      </c>
      <c r="J76" s="559">
        <v>500000</v>
      </c>
      <c r="K76" s="559">
        <v>0</v>
      </c>
      <c r="L76" s="559">
        <v>500000</v>
      </c>
      <c r="M76" s="559">
        <v>73594</v>
      </c>
      <c r="N76" s="559">
        <v>73594</v>
      </c>
      <c r="O76" s="559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547">
        <v>174264</v>
      </c>
      <c r="C77" s="548">
        <v>3</v>
      </c>
      <c r="D77" s="549" t="s">
        <v>8</v>
      </c>
      <c r="E77" s="548">
        <v>142</v>
      </c>
      <c r="F77" s="558">
        <v>3500000</v>
      </c>
      <c r="G77" s="558">
        <v>0</v>
      </c>
      <c r="H77" s="558">
        <v>3500000</v>
      </c>
      <c r="I77" s="558">
        <v>-200000</v>
      </c>
      <c r="J77" s="558">
        <v>3300000</v>
      </c>
      <c r="K77" s="558">
        <v>0</v>
      </c>
      <c r="L77" s="558">
        <v>3300000</v>
      </c>
      <c r="M77" s="558">
        <v>0</v>
      </c>
      <c r="N77" s="558">
        <v>0</v>
      </c>
      <c r="O77" s="558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551">
        <v>174264</v>
      </c>
      <c r="C78" s="552">
        <v>4</v>
      </c>
      <c r="D78" s="553" t="s">
        <v>7</v>
      </c>
      <c r="E78" s="552">
        <v>142</v>
      </c>
      <c r="F78" s="559">
        <v>1400000</v>
      </c>
      <c r="G78" s="559">
        <v>0</v>
      </c>
      <c r="H78" s="559">
        <v>1400000</v>
      </c>
      <c r="I78" s="559">
        <v>-483611</v>
      </c>
      <c r="J78" s="559">
        <v>916389</v>
      </c>
      <c r="K78" s="559">
        <v>0</v>
      </c>
      <c r="L78" s="559">
        <v>916389</v>
      </c>
      <c r="M78" s="559">
        <v>168606.75</v>
      </c>
      <c r="N78" s="559">
        <v>168606.75</v>
      </c>
      <c r="O78" s="559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547">
        <v>174265</v>
      </c>
      <c r="C79" s="548">
        <v>3</v>
      </c>
      <c r="D79" s="549" t="s">
        <v>8</v>
      </c>
      <c r="E79" s="548">
        <v>142</v>
      </c>
      <c r="F79" s="558">
        <v>695000</v>
      </c>
      <c r="G79" s="558">
        <v>0</v>
      </c>
      <c r="H79" s="558">
        <v>695000</v>
      </c>
      <c r="I79" s="558">
        <v>-292000</v>
      </c>
      <c r="J79" s="558">
        <v>403000</v>
      </c>
      <c r="K79" s="558">
        <v>0</v>
      </c>
      <c r="L79" s="558">
        <v>403000</v>
      </c>
      <c r="M79" s="558">
        <v>48975.21</v>
      </c>
      <c r="N79" s="558">
        <v>48975.21</v>
      </c>
      <c r="O79" s="558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551">
        <v>174266</v>
      </c>
      <c r="C80" s="552">
        <v>3</v>
      </c>
      <c r="D80" s="553" t="s">
        <v>8</v>
      </c>
      <c r="E80" s="552">
        <v>142</v>
      </c>
      <c r="F80" s="559">
        <v>400000</v>
      </c>
      <c r="G80" s="559">
        <v>0</v>
      </c>
      <c r="H80" s="559">
        <v>400000</v>
      </c>
      <c r="I80" s="559">
        <v>-400000</v>
      </c>
      <c r="J80" s="559">
        <v>0</v>
      </c>
      <c r="K80" s="559">
        <v>0</v>
      </c>
      <c r="L80" s="559">
        <v>0</v>
      </c>
      <c r="M80" s="559">
        <v>0</v>
      </c>
      <c r="N80" s="559">
        <v>0</v>
      </c>
      <c r="O80" s="559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547">
        <v>174267</v>
      </c>
      <c r="C81" s="548">
        <v>3</v>
      </c>
      <c r="D81" s="549" t="s">
        <v>8</v>
      </c>
      <c r="E81" s="548">
        <v>142</v>
      </c>
      <c r="F81" s="558">
        <v>2007890</v>
      </c>
      <c r="G81" s="558">
        <v>0</v>
      </c>
      <c r="H81" s="558">
        <v>2007890</v>
      </c>
      <c r="I81" s="558">
        <v>-465725</v>
      </c>
      <c r="J81" s="558">
        <v>1542165</v>
      </c>
      <c r="K81" s="558">
        <v>0</v>
      </c>
      <c r="L81" s="558">
        <v>1542165</v>
      </c>
      <c r="M81" s="558">
        <v>174635.03</v>
      </c>
      <c r="N81" s="558">
        <v>174635.03</v>
      </c>
      <c r="O81" s="558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551">
        <v>174267</v>
      </c>
      <c r="C82" s="552">
        <v>4</v>
      </c>
      <c r="D82" s="553" t="s">
        <v>7</v>
      </c>
      <c r="E82" s="552">
        <v>142</v>
      </c>
      <c r="F82" s="559">
        <v>110000</v>
      </c>
      <c r="G82" s="559">
        <v>0</v>
      </c>
      <c r="H82" s="559">
        <v>110000</v>
      </c>
      <c r="I82" s="559">
        <v>0</v>
      </c>
      <c r="J82" s="559">
        <v>110000</v>
      </c>
      <c r="K82" s="559">
        <v>0</v>
      </c>
      <c r="L82" s="559">
        <v>110000</v>
      </c>
      <c r="M82" s="559">
        <v>0</v>
      </c>
      <c r="N82" s="559">
        <v>0</v>
      </c>
      <c r="O82" s="559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547">
        <v>174268</v>
      </c>
      <c r="C83" s="548">
        <v>3</v>
      </c>
      <c r="D83" s="549" t="s">
        <v>8</v>
      </c>
      <c r="E83" s="548">
        <v>142</v>
      </c>
      <c r="F83" s="558">
        <v>800000</v>
      </c>
      <c r="G83" s="558">
        <v>0</v>
      </c>
      <c r="H83" s="558">
        <v>800000</v>
      </c>
      <c r="I83" s="558">
        <v>-100000</v>
      </c>
      <c r="J83" s="558">
        <v>700000</v>
      </c>
      <c r="K83" s="558">
        <v>0</v>
      </c>
      <c r="L83" s="558">
        <v>700000</v>
      </c>
      <c r="M83" s="558">
        <v>5.5</v>
      </c>
      <c r="N83" s="558">
        <v>5.5</v>
      </c>
      <c r="O83" s="558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551">
        <v>174268</v>
      </c>
      <c r="C84" s="552">
        <v>4</v>
      </c>
      <c r="D84" s="553" t="s">
        <v>7</v>
      </c>
      <c r="E84" s="552">
        <v>142</v>
      </c>
      <c r="F84" s="559">
        <v>100000</v>
      </c>
      <c r="G84" s="559">
        <v>0</v>
      </c>
      <c r="H84" s="559">
        <v>100000</v>
      </c>
      <c r="I84" s="559">
        <v>0</v>
      </c>
      <c r="J84" s="559">
        <v>100000</v>
      </c>
      <c r="K84" s="559">
        <v>0</v>
      </c>
      <c r="L84" s="559">
        <v>100000</v>
      </c>
      <c r="M84" s="559">
        <v>84185.1</v>
      </c>
      <c r="N84" s="559">
        <v>84185.1</v>
      </c>
      <c r="O84" s="559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547">
        <v>174269</v>
      </c>
      <c r="C85" s="548">
        <v>3</v>
      </c>
      <c r="D85" s="549" t="s">
        <v>8</v>
      </c>
      <c r="E85" s="548">
        <v>142</v>
      </c>
      <c r="F85" s="558">
        <v>5000000</v>
      </c>
      <c r="G85" s="558">
        <v>0</v>
      </c>
      <c r="H85" s="558">
        <v>5000000</v>
      </c>
      <c r="I85" s="558">
        <v>-828074</v>
      </c>
      <c r="J85" s="558">
        <v>4171926</v>
      </c>
      <c r="K85" s="558">
        <v>0</v>
      </c>
      <c r="L85" s="558">
        <v>4171926</v>
      </c>
      <c r="M85" s="558">
        <v>35220.930000000197</v>
      </c>
      <c r="N85" s="558">
        <v>35220.93</v>
      </c>
      <c r="O85" s="558">
        <v>0</v>
      </c>
      <c r="P85" s="449">
        <f>+L85-O85</f>
        <v>4171926</v>
      </c>
    </row>
    <row r="86" spans="1:16" ht="17.100000000000001" customHeight="1" x14ac:dyDescent="0.2">
      <c r="A86" s="446" t="str">
        <f t="shared" si="3"/>
        <v>174270-3-142</v>
      </c>
      <c r="B86" s="551">
        <v>174270</v>
      </c>
      <c r="C86" s="552">
        <v>3</v>
      </c>
      <c r="D86" s="553" t="s">
        <v>8</v>
      </c>
      <c r="E86" s="552">
        <v>142</v>
      </c>
      <c r="F86" s="559">
        <v>2950000</v>
      </c>
      <c r="G86" s="559">
        <v>0</v>
      </c>
      <c r="H86" s="559">
        <v>2950000</v>
      </c>
      <c r="I86" s="559">
        <v>-309000</v>
      </c>
      <c r="J86" s="559">
        <v>2641000</v>
      </c>
      <c r="K86" s="559">
        <v>0</v>
      </c>
      <c r="L86" s="559">
        <v>2641000</v>
      </c>
      <c r="M86" s="559">
        <v>153542.44</v>
      </c>
      <c r="N86" s="559">
        <v>153542.44</v>
      </c>
      <c r="O86" s="559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547">
        <v>174271</v>
      </c>
      <c r="C87" s="548">
        <v>3</v>
      </c>
      <c r="D87" s="549" t="s">
        <v>8</v>
      </c>
      <c r="E87" s="548">
        <v>142</v>
      </c>
      <c r="F87" s="558">
        <v>700000</v>
      </c>
      <c r="G87" s="558">
        <v>0</v>
      </c>
      <c r="H87" s="558">
        <v>700000</v>
      </c>
      <c r="I87" s="558">
        <v>-100000</v>
      </c>
      <c r="J87" s="558">
        <v>600000</v>
      </c>
      <c r="K87" s="558">
        <v>0</v>
      </c>
      <c r="L87" s="558">
        <v>600000</v>
      </c>
      <c r="M87" s="558">
        <v>196314.39</v>
      </c>
      <c r="N87" s="558">
        <v>196314.39</v>
      </c>
      <c r="O87" s="558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551">
        <v>174271</v>
      </c>
      <c r="C88" s="552">
        <v>4</v>
      </c>
      <c r="D88" s="553" t="s">
        <v>7</v>
      </c>
      <c r="E88" s="552">
        <v>142</v>
      </c>
      <c r="F88" s="559">
        <v>100000</v>
      </c>
      <c r="G88" s="559">
        <v>0</v>
      </c>
      <c r="H88" s="559">
        <v>100000</v>
      </c>
      <c r="I88" s="559">
        <v>0</v>
      </c>
      <c r="J88" s="559">
        <v>100000</v>
      </c>
      <c r="K88" s="559">
        <v>0</v>
      </c>
      <c r="L88" s="559">
        <v>100000</v>
      </c>
      <c r="M88" s="559">
        <v>0</v>
      </c>
      <c r="N88" s="559">
        <v>0</v>
      </c>
      <c r="O88" s="559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547">
        <v>174272</v>
      </c>
      <c r="C89" s="548">
        <v>3</v>
      </c>
      <c r="D89" s="549" t="s">
        <v>8</v>
      </c>
      <c r="E89" s="548">
        <v>142</v>
      </c>
      <c r="F89" s="558">
        <v>1000000</v>
      </c>
      <c r="G89" s="558">
        <v>0</v>
      </c>
      <c r="H89" s="558">
        <v>1000000</v>
      </c>
      <c r="I89" s="558">
        <v>-589075</v>
      </c>
      <c r="J89" s="558">
        <v>410925</v>
      </c>
      <c r="K89" s="558">
        <v>0</v>
      </c>
      <c r="L89" s="558">
        <v>410925</v>
      </c>
      <c r="M89" s="558">
        <v>13849.31</v>
      </c>
      <c r="N89" s="558">
        <v>13849.31</v>
      </c>
      <c r="O89" s="558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551">
        <v>174273</v>
      </c>
      <c r="C90" s="552">
        <v>3</v>
      </c>
      <c r="D90" s="553" t="s">
        <v>8</v>
      </c>
      <c r="E90" s="552">
        <v>142</v>
      </c>
      <c r="F90" s="559">
        <v>1000000</v>
      </c>
      <c r="G90" s="559">
        <v>0</v>
      </c>
      <c r="H90" s="559">
        <v>1000000</v>
      </c>
      <c r="I90" s="559">
        <v>0</v>
      </c>
      <c r="J90" s="559">
        <v>1000000</v>
      </c>
      <c r="K90" s="559">
        <v>0</v>
      </c>
      <c r="L90" s="559">
        <v>1000000</v>
      </c>
      <c r="M90" s="559">
        <v>0</v>
      </c>
      <c r="N90" s="559">
        <v>0</v>
      </c>
      <c r="O90" s="559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547">
        <v>195063</v>
      </c>
      <c r="C91" s="548">
        <v>3</v>
      </c>
      <c r="D91" s="549" t="s">
        <v>8</v>
      </c>
      <c r="E91" s="548">
        <v>100</v>
      </c>
      <c r="F91" s="558">
        <v>1949502</v>
      </c>
      <c r="G91" s="558">
        <v>0</v>
      </c>
      <c r="H91" s="558">
        <v>1949502</v>
      </c>
      <c r="I91" s="558">
        <v>0</v>
      </c>
      <c r="J91" s="558">
        <v>1949502</v>
      </c>
      <c r="K91" s="558">
        <v>0</v>
      </c>
      <c r="L91" s="558">
        <v>1949502</v>
      </c>
      <c r="M91" s="558">
        <v>1153881.19</v>
      </c>
      <c r="N91" s="558">
        <v>1169090.5900000001</v>
      </c>
      <c r="O91" s="558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551">
        <v>195065</v>
      </c>
      <c r="C92" s="552">
        <v>3</v>
      </c>
      <c r="D92" s="553" t="s">
        <v>8</v>
      </c>
      <c r="E92" s="552">
        <v>100</v>
      </c>
      <c r="F92" s="559">
        <v>233177</v>
      </c>
      <c r="G92" s="559">
        <v>0</v>
      </c>
      <c r="H92" s="559">
        <v>233177</v>
      </c>
      <c r="I92" s="559">
        <v>0</v>
      </c>
      <c r="J92" s="559">
        <v>233177</v>
      </c>
      <c r="K92" s="559">
        <v>0</v>
      </c>
      <c r="L92" s="559">
        <v>233177</v>
      </c>
      <c r="M92" s="559">
        <v>132811.74</v>
      </c>
      <c r="N92" s="559">
        <v>132811.74</v>
      </c>
      <c r="O92" s="559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547">
        <v>195067</v>
      </c>
      <c r="C93" s="548">
        <v>3</v>
      </c>
      <c r="D93" s="549" t="s">
        <v>8</v>
      </c>
      <c r="E93" s="548">
        <v>100</v>
      </c>
      <c r="F93" s="558">
        <v>17628738</v>
      </c>
      <c r="G93" s="558">
        <v>0</v>
      </c>
      <c r="H93" s="558">
        <v>17628738</v>
      </c>
      <c r="I93" s="558">
        <v>0</v>
      </c>
      <c r="J93" s="558">
        <v>17628738</v>
      </c>
      <c r="K93" s="558">
        <v>0</v>
      </c>
      <c r="L93" s="558">
        <v>17628738</v>
      </c>
      <c r="M93" s="558">
        <v>8983331.6799999997</v>
      </c>
      <c r="N93" s="558">
        <v>8983331.6799999997</v>
      </c>
      <c r="O93" s="558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551">
        <v>204816</v>
      </c>
      <c r="C94" s="552">
        <v>3</v>
      </c>
      <c r="D94" s="553" t="s">
        <v>8</v>
      </c>
      <c r="E94" s="552">
        <v>181</v>
      </c>
      <c r="F94" s="559">
        <v>800000</v>
      </c>
      <c r="G94" s="559">
        <v>0</v>
      </c>
      <c r="H94" s="559">
        <v>800000</v>
      </c>
      <c r="I94" s="559">
        <v>0</v>
      </c>
      <c r="J94" s="559">
        <v>800000</v>
      </c>
      <c r="K94" s="559">
        <v>0</v>
      </c>
      <c r="L94" s="559">
        <v>800000</v>
      </c>
      <c r="M94" s="559">
        <v>443187.23</v>
      </c>
      <c r="N94" s="559">
        <v>443187.23</v>
      </c>
      <c r="O94" s="559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547">
        <v>204817</v>
      </c>
      <c r="C95" s="548">
        <v>3</v>
      </c>
      <c r="D95" s="549" t="s">
        <v>8</v>
      </c>
      <c r="E95" s="548">
        <v>181</v>
      </c>
      <c r="F95" s="558">
        <v>700000</v>
      </c>
      <c r="G95" s="558">
        <v>0</v>
      </c>
      <c r="H95" s="558">
        <v>700000</v>
      </c>
      <c r="I95" s="558">
        <v>0</v>
      </c>
      <c r="J95" s="558">
        <v>700000</v>
      </c>
      <c r="K95" s="558">
        <v>0</v>
      </c>
      <c r="L95" s="558">
        <v>700000</v>
      </c>
      <c r="M95" s="558">
        <v>586451.37</v>
      </c>
      <c r="N95" s="558">
        <v>586451.37</v>
      </c>
      <c r="O95" s="558"/>
      <c r="P95" s="452">
        <f>+L95-O95</f>
        <v>700000</v>
      </c>
    </row>
    <row r="96" spans="1:16" ht="17.100000000000001" customHeight="1" x14ac:dyDescent="0.2">
      <c r="A96" s="446" t="str">
        <f t="shared" si="4"/>
        <v>204818-3-142</v>
      </c>
      <c r="B96" s="551">
        <v>204818</v>
      </c>
      <c r="C96" s="552">
        <v>3</v>
      </c>
      <c r="D96" s="553" t="s">
        <v>8</v>
      </c>
      <c r="E96" s="552">
        <v>142</v>
      </c>
      <c r="F96" s="559">
        <v>1</v>
      </c>
      <c r="G96" s="559">
        <v>0</v>
      </c>
      <c r="H96" s="559">
        <v>1</v>
      </c>
      <c r="I96" s="559">
        <v>0</v>
      </c>
      <c r="J96" s="559">
        <v>1</v>
      </c>
      <c r="K96" s="559">
        <v>0</v>
      </c>
      <c r="L96" s="559">
        <v>1</v>
      </c>
      <c r="M96" s="559">
        <v>1</v>
      </c>
      <c r="N96" s="559">
        <v>1</v>
      </c>
      <c r="O96" s="559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547">
        <v>213406</v>
      </c>
      <c r="C97" s="548">
        <v>3</v>
      </c>
      <c r="D97" s="549" t="s">
        <v>8</v>
      </c>
      <c r="E97" s="548">
        <v>188</v>
      </c>
      <c r="F97" s="558"/>
      <c r="G97" s="558">
        <v>0</v>
      </c>
      <c r="H97" s="558">
        <v>0</v>
      </c>
      <c r="I97" s="558">
        <v>200000</v>
      </c>
      <c r="J97" s="558">
        <v>200000</v>
      </c>
      <c r="K97" s="558">
        <v>0</v>
      </c>
      <c r="L97" s="558">
        <v>200000</v>
      </c>
      <c r="M97" s="558">
        <v>200000</v>
      </c>
      <c r="N97" s="558">
        <v>29522</v>
      </c>
      <c r="O97" s="558">
        <v>170478</v>
      </c>
      <c r="P97" s="452">
        <f>+L97-O97</f>
        <v>29522</v>
      </c>
    </row>
    <row r="98" spans="1:16" ht="16.5" customHeight="1" x14ac:dyDescent="0.2">
      <c r="A98" s="446"/>
      <c r="B98" s="555" t="s">
        <v>9</v>
      </c>
      <c r="C98" s="556"/>
      <c r="D98" s="556"/>
      <c r="E98" s="555"/>
      <c r="F98" s="557">
        <v>517546895</v>
      </c>
      <c r="G98" s="557">
        <v>-3436635</v>
      </c>
      <c r="H98" s="557">
        <v>514110260</v>
      </c>
      <c r="I98" s="557">
        <v>-2042547</v>
      </c>
      <c r="J98" s="557">
        <v>512067713</v>
      </c>
      <c r="K98" s="557">
        <v>0</v>
      </c>
      <c r="L98" s="557">
        <v>512067713</v>
      </c>
      <c r="M98" s="557">
        <v>148974239.62</v>
      </c>
      <c r="N98" s="557">
        <v>151701764.28</v>
      </c>
      <c r="O98" s="557">
        <v>455881</v>
      </c>
      <c r="P98" s="453">
        <f>+L98-O98</f>
        <v>511611832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C98:D98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1"/>
  <sheetViews>
    <sheetView showGridLines="0" zoomScale="80" zoomScaleNormal="80" workbookViewId="0">
      <pane xSplit="1" ySplit="4" topLeftCell="B65" activePane="bottomRight" state="frozen"/>
      <selection activeCell="Q5" sqref="Q5:Q7"/>
      <selection pane="topRight" activeCell="Q5" sqref="Q5:Q7"/>
      <selection pane="bottomLeft" activeCell="Q5" sqref="Q5:Q7"/>
      <selection pane="bottomRight" activeCell="Q79" sqref="Q79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6" t="s">
        <v>48</v>
      </c>
      <c r="B3" s="489" t="s">
        <v>0</v>
      </c>
      <c r="C3" s="489" t="s">
        <v>1</v>
      </c>
      <c r="D3" s="489"/>
      <c r="E3" s="487" t="s">
        <v>349</v>
      </c>
      <c r="F3" s="481" t="s">
        <v>67</v>
      </c>
      <c r="G3" s="481" t="s">
        <v>50</v>
      </c>
      <c r="H3" s="481" t="s">
        <v>51</v>
      </c>
      <c r="I3" s="481" t="s">
        <v>52</v>
      </c>
      <c r="J3" s="481" t="s">
        <v>53</v>
      </c>
      <c r="K3" s="481" t="s">
        <v>54</v>
      </c>
      <c r="L3" s="481" t="s">
        <v>5</v>
      </c>
      <c r="M3" s="481" t="s">
        <v>12</v>
      </c>
    </row>
    <row r="4" spans="1:13" ht="32.1" customHeight="1" x14ac:dyDescent="0.2">
      <c r="A4" s="486"/>
      <c r="B4" s="489"/>
      <c r="C4" s="489"/>
      <c r="D4" s="489"/>
      <c r="E4" s="488"/>
      <c r="F4" s="482"/>
      <c r="G4" s="482"/>
      <c r="H4" s="482"/>
      <c r="I4" s="482"/>
      <c r="J4" s="482"/>
      <c r="K4" s="482"/>
      <c r="L4" s="482"/>
      <c r="M4" s="482"/>
    </row>
    <row r="5" spans="1:13" ht="20.100000000000001" customHeight="1" x14ac:dyDescent="0.2">
      <c r="A5" s="410" t="str">
        <f>CONCATENATE(B5,"-",C5,"-",E5)</f>
        <v>93045-1-100</v>
      </c>
      <c r="B5" s="547">
        <v>93045</v>
      </c>
      <c r="C5" s="548">
        <v>1</v>
      </c>
      <c r="D5" s="549" t="s">
        <v>11</v>
      </c>
      <c r="E5" s="548">
        <v>100</v>
      </c>
      <c r="F5" s="550">
        <v>1264597</v>
      </c>
      <c r="G5" s="550">
        <v>1264597</v>
      </c>
      <c r="H5" s="550">
        <v>0</v>
      </c>
      <c r="I5" s="550">
        <v>1264597</v>
      </c>
      <c r="J5" s="550">
        <v>0</v>
      </c>
      <c r="K5" s="550">
        <v>1264597</v>
      </c>
      <c r="L5" s="550">
        <v>0</v>
      </c>
      <c r="M5" s="550"/>
    </row>
    <row r="6" spans="1:13" ht="20.100000000000001" customHeight="1" x14ac:dyDescent="0.2">
      <c r="A6" s="410" t="str">
        <f t="shared" ref="A6:A70" si="0">CONCATENATE(B6,"-",C6,"-",E6)</f>
        <v>93045-3-100</v>
      </c>
      <c r="B6" s="551">
        <v>93045</v>
      </c>
      <c r="C6" s="552">
        <v>3</v>
      </c>
      <c r="D6" s="553" t="s">
        <v>8</v>
      </c>
      <c r="E6" s="552">
        <v>100</v>
      </c>
      <c r="F6" s="554">
        <v>258983.88</v>
      </c>
      <c r="G6" s="554">
        <v>258983.88</v>
      </c>
      <c r="H6" s="554">
        <v>0</v>
      </c>
      <c r="I6" s="554">
        <v>258983.88</v>
      </c>
      <c r="J6" s="554">
        <v>0</v>
      </c>
      <c r="K6" s="554">
        <v>258983.88</v>
      </c>
      <c r="L6" s="554">
        <v>0</v>
      </c>
      <c r="M6" s="554"/>
    </row>
    <row r="7" spans="1:13" ht="20.100000000000001" customHeight="1" x14ac:dyDescent="0.2">
      <c r="A7" s="410" t="str">
        <f t="shared" si="0"/>
        <v>93048-1-100</v>
      </c>
      <c r="B7" s="547">
        <v>93048</v>
      </c>
      <c r="C7" s="548">
        <v>1</v>
      </c>
      <c r="D7" s="549" t="s">
        <v>11</v>
      </c>
      <c r="E7" s="548">
        <v>100</v>
      </c>
      <c r="F7" s="550">
        <v>93566.09</v>
      </c>
      <c r="G7" s="550">
        <v>90946.93</v>
      </c>
      <c r="H7" s="550">
        <v>0</v>
      </c>
      <c r="I7" s="550">
        <v>90946.93</v>
      </c>
      <c r="J7" s="550">
        <v>0</v>
      </c>
      <c r="K7" s="550">
        <v>90946.93</v>
      </c>
      <c r="L7" s="550">
        <v>2619.16</v>
      </c>
      <c r="M7" s="550"/>
    </row>
    <row r="8" spans="1:13" ht="20.100000000000001" customHeight="1" x14ac:dyDescent="0.2">
      <c r="A8" s="410" t="str">
        <f t="shared" si="0"/>
        <v>128805-3-142</v>
      </c>
      <c r="B8" s="551">
        <v>128805</v>
      </c>
      <c r="C8" s="552">
        <v>3</v>
      </c>
      <c r="D8" s="553" t="s">
        <v>8</v>
      </c>
      <c r="E8" s="552">
        <v>142</v>
      </c>
      <c r="F8" s="554">
        <v>27126.81</v>
      </c>
      <c r="G8" s="554">
        <v>27126.81</v>
      </c>
      <c r="H8" s="554">
        <v>0</v>
      </c>
      <c r="I8" s="554">
        <v>27126.81</v>
      </c>
      <c r="J8" s="554">
        <v>0</v>
      </c>
      <c r="K8" s="554">
        <v>27126.81</v>
      </c>
      <c r="L8" s="554">
        <v>0</v>
      </c>
      <c r="M8" s="554"/>
    </row>
    <row r="9" spans="1:13" ht="20.100000000000001" customHeight="1" x14ac:dyDescent="0.2">
      <c r="A9" s="410" t="str">
        <f t="shared" si="0"/>
        <v>128809-3-142</v>
      </c>
      <c r="B9" s="547">
        <v>128809</v>
      </c>
      <c r="C9" s="548">
        <v>3</v>
      </c>
      <c r="D9" s="549" t="s">
        <v>8</v>
      </c>
      <c r="E9" s="548">
        <v>142</v>
      </c>
      <c r="F9" s="550">
        <v>25557.87</v>
      </c>
      <c r="G9" s="550">
        <v>25557.87</v>
      </c>
      <c r="H9" s="550">
        <v>0</v>
      </c>
      <c r="I9" s="550">
        <v>25557.87</v>
      </c>
      <c r="J9" s="550">
        <v>0</v>
      </c>
      <c r="K9" s="550">
        <v>25557.87</v>
      </c>
      <c r="L9" s="550">
        <v>0</v>
      </c>
      <c r="M9" s="550"/>
    </row>
    <row r="10" spans="1:13" ht="20.100000000000001" customHeight="1" x14ac:dyDescent="0.2">
      <c r="A10" s="410" t="str">
        <f t="shared" si="0"/>
        <v>128811-3-142</v>
      </c>
      <c r="B10" s="551">
        <v>128811</v>
      </c>
      <c r="C10" s="552">
        <v>3</v>
      </c>
      <c r="D10" s="553" t="s">
        <v>8</v>
      </c>
      <c r="E10" s="552">
        <v>142</v>
      </c>
      <c r="F10" s="554">
        <v>69880.08</v>
      </c>
      <c r="G10" s="554">
        <v>69880.08</v>
      </c>
      <c r="H10" s="554">
        <v>0</v>
      </c>
      <c r="I10" s="554">
        <v>69880.08</v>
      </c>
      <c r="J10" s="554">
        <v>0</v>
      </c>
      <c r="K10" s="554">
        <v>69880.08</v>
      </c>
      <c r="L10" s="554">
        <v>0</v>
      </c>
      <c r="M10" s="554"/>
    </row>
    <row r="11" spans="1:13" ht="20.100000000000001" customHeight="1" x14ac:dyDescent="0.2">
      <c r="A11" s="410" t="str">
        <f t="shared" si="0"/>
        <v>139605-3-151</v>
      </c>
      <c r="B11" s="547">
        <v>139605</v>
      </c>
      <c r="C11" s="548">
        <v>3</v>
      </c>
      <c r="D11" s="549" t="s">
        <v>8</v>
      </c>
      <c r="E11" s="548">
        <v>151</v>
      </c>
      <c r="F11" s="550">
        <v>197886.65</v>
      </c>
      <c r="G11" s="550">
        <v>197886.65</v>
      </c>
      <c r="H11" s="550">
        <v>10608.15</v>
      </c>
      <c r="I11" s="550">
        <v>187278.5</v>
      </c>
      <c r="J11" s="550">
        <v>0</v>
      </c>
      <c r="K11" s="550">
        <v>187278.5</v>
      </c>
      <c r="L11" s="550">
        <v>0</v>
      </c>
      <c r="M11" s="550"/>
    </row>
    <row r="12" spans="1:13" ht="20.100000000000001" customHeight="1" x14ac:dyDescent="0.2">
      <c r="A12" s="410" t="str">
        <f t="shared" si="0"/>
        <v>174222-1-100</v>
      </c>
      <c r="B12" s="551">
        <v>174222</v>
      </c>
      <c r="C12" s="552">
        <v>1</v>
      </c>
      <c r="D12" s="553" t="s">
        <v>11</v>
      </c>
      <c r="E12" s="552">
        <v>100</v>
      </c>
      <c r="F12" s="554">
        <v>214941992.47999999</v>
      </c>
      <c r="G12" s="554">
        <v>210896465.56999999</v>
      </c>
      <c r="H12" s="554">
        <v>10897955.640000001</v>
      </c>
      <c r="I12" s="554">
        <v>199998509.93000001</v>
      </c>
      <c r="J12" s="554">
        <v>3914007.56</v>
      </c>
      <c r="K12" s="554">
        <v>196084502.37</v>
      </c>
      <c r="L12" s="554">
        <v>4045526.91</v>
      </c>
      <c r="M12" s="554"/>
    </row>
    <row r="13" spans="1:13" ht="20.100000000000001" customHeight="1" x14ac:dyDescent="0.2">
      <c r="A13" s="410" t="str">
        <f t="shared" si="0"/>
        <v>174224-3-151</v>
      </c>
      <c r="B13" s="547">
        <v>174224</v>
      </c>
      <c r="C13" s="548">
        <v>3</v>
      </c>
      <c r="D13" s="549" t="s">
        <v>8</v>
      </c>
      <c r="E13" s="548">
        <v>151</v>
      </c>
      <c r="F13" s="550">
        <v>2778718.38</v>
      </c>
      <c r="G13" s="550">
        <v>2778718.38</v>
      </c>
      <c r="H13" s="550">
        <v>0</v>
      </c>
      <c r="I13" s="550">
        <v>2778718.38</v>
      </c>
      <c r="J13" s="550">
        <v>0</v>
      </c>
      <c r="K13" s="550">
        <v>2778718.38</v>
      </c>
      <c r="L13" s="550">
        <v>0</v>
      </c>
      <c r="M13" s="550"/>
    </row>
    <row r="14" spans="1:13" ht="20.100000000000001" customHeight="1" x14ac:dyDescent="0.2">
      <c r="A14" s="410" t="str">
        <f t="shared" si="0"/>
        <v>174224-3-188</v>
      </c>
      <c r="B14" s="551">
        <v>174224</v>
      </c>
      <c r="C14" s="552">
        <v>3</v>
      </c>
      <c r="D14" s="553" t="s">
        <v>8</v>
      </c>
      <c r="E14" s="552">
        <v>188</v>
      </c>
      <c r="F14" s="554">
        <v>21020028.870000001</v>
      </c>
      <c r="G14" s="554">
        <v>20851691.27</v>
      </c>
      <c r="H14" s="554">
        <v>10091792.859999999</v>
      </c>
      <c r="I14" s="554">
        <v>10759898.41</v>
      </c>
      <c r="J14" s="554">
        <v>1848930.01</v>
      </c>
      <c r="K14" s="554">
        <v>8910968.4000000004</v>
      </c>
      <c r="L14" s="554">
        <v>168337.6</v>
      </c>
      <c r="M14" s="554"/>
    </row>
    <row r="15" spans="1:13" ht="20.100000000000001" customHeight="1" x14ac:dyDescent="0.2">
      <c r="A15" s="410" t="str">
        <f t="shared" si="0"/>
        <v>174225-3-151</v>
      </c>
      <c r="B15" s="547">
        <v>174225</v>
      </c>
      <c r="C15" s="548">
        <v>3</v>
      </c>
      <c r="D15" s="549" t="s">
        <v>8</v>
      </c>
      <c r="E15" s="548">
        <v>151</v>
      </c>
      <c r="F15" s="550">
        <v>47599.26</v>
      </c>
      <c r="G15" s="550">
        <v>47599.26</v>
      </c>
      <c r="H15" s="550">
        <v>1573.44</v>
      </c>
      <c r="I15" s="550">
        <v>46025.82</v>
      </c>
      <c r="J15" s="550">
        <v>0</v>
      </c>
      <c r="K15" s="550">
        <v>46025.82</v>
      </c>
      <c r="L15" s="550">
        <v>0</v>
      </c>
      <c r="M15" s="550"/>
    </row>
    <row r="16" spans="1:13" ht="20.100000000000001" customHeight="1" x14ac:dyDescent="0.2">
      <c r="A16" s="410" t="str">
        <f t="shared" si="0"/>
        <v>174225-3-188</v>
      </c>
      <c r="B16" s="551">
        <v>174225</v>
      </c>
      <c r="C16" s="552">
        <v>3</v>
      </c>
      <c r="D16" s="553" t="s">
        <v>8</v>
      </c>
      <c r="E16" s="552">
        <v>188</v>
      </c>
      <c r="F16" s="554">
        <v>468271.57</v>
      </c>
      <c r="G16" s="554">
        <v>385194.67</v>
      </c>
      <c r="H16" s="554">
        <v>104618.62</v>
      </c>
      <c r="I16" s="554">
        <v>280576.05</v>
      </c>
      <c r="J16" s="554">
        <v>23254.97</v>
      </c>
      <c r="K16" s="554">
        <v>257321.08</v>
      </c>
      <c r="L16" s="554">
        <v>83076.899999999994</v>
      </c>
      <c r="M16" s="554"/>
    </row>
    <row r="17" spans="1:13" ht="20.100000000000001" customHeight="1" x14ac:dyDescent="0.2">
      <c r="A17" s="410" t="str">
        <f t="shared" si="0"/>
        <v>174230-3-142</v>
      </c>
      <c r="B17" s="547">
        <v>174230</v>
      </c>
      <c r="C17" s="548">
        <v>3</v>
      </c>
      <c r="D17" s="549" t="s">
        <v>8</v>
      </c>
      <c r="E17" s="548">
        <v>142</v>
      </c>
      <c r="F17" s="550">
        <v>265516.02</v>
      </c>
      <c r="G17" s="550">
        <v>165976.04999999999</v>
      </c>
      <c r="H17" s="550">
        <v>47926.42</v>
      </c>
      <c r="I17" s="550">
        <v>118049.63</v>
      </c>
      <c r="J17" s="550">
        <v>14921.09</v>
      </c>
      <c r="K17" s="550">
        <v>103128.54</v>
      </c>
      <c r="L17" s="550">
        <v>99539.97</v>
      </c>
      <c r="M17" s="550"/>
    </row>
    <row r="18" spans="1:13" ht="20.100000000000001" customHeight="1" x14ac:dyDescent="0.2">
      <c r="A18" s="410" t="str">
        <f t="shared" si="0"/>
        <v>174231-3-142</v>
      </c>
      <c r="B18" s="551">
        <v>174231</v>
      </c>
      <c r="C18" s="552">
        <v>3</v>
      </c>
      <c r="D18" s="553" t="s">
        <v>8</v>
      </c>
      <c r="E18" s="552">
        <v>142</v>
      </c>
      <c r="F18" s="554">
        <v>461760.09</v>
      </c>
      <c r="G18" s="554">
        <v>437006.65</v>
      </c>
      <c r="H18" s="554">
        <v>244785.63</v>
      </c>
      <c r="I18" s="554">
        <v>192221.02</v>
      </c>
      <c r="J18" s="554">
        <v>65185.62</v>
      </c>
      <c r="K18" s="554">
        <v>127035.4</v>
      </c>
      <c r="L18" s="554">
        <v>24753.439999999999</v>
      </c>
      <c r="M18" s="554"/>
    </row>
    <row r="19" spans="1:13" ht="20.100000000000001" customHeight="1" x14ac:dyDescent="0.2">
      <c r="A19" s="410" t="str">
        <f t="shared" si="0"/>
        <v>174231-4-142</v>
      </c>
      <c r="B19" s="547">
        <v>174231</v>
      </c>
      <c r="C19" s="548">
        <v>4</v>
      </c>
      <c r="D19" s="549" t="s">
        <v>7</v>
      </c>
      <c r="E19" s="548">
        <v>142</v>
      </c>
      <c r="F19" s="550">
        <v>281210.06</v>
      </c>
      <c r="G19" s="550">
        <v>280949</v>
      </c>
      <c r="H19" s="550">
        <v>261957</v>
      </c>
      <c r="I19" s="550">
        <v>18992</v>
      </c>
      <c r="J19" s="550">
        <v>18992</v>
      </c>
      <c r="K19" s="550"/>
      <c r="L19" s="550">
        <v>261.06</v>
      </c>
      <c r="M19" s="550"/>
    </row>
    <row r="20" spans="1:13" ht="20.100000000000001" customHeight="1" x14ac:dyDescent="0.2">
      <c r="A20" s="410" t="str">
        <f t="shared" si="0"/>
        <v>174232-3-100</v>
      </c>
      <c r="B20" s="551">
        <v>174232</v>
      </c>
      <c r="C20" s="552">
        <v>3</v>
      </c>
      <c r="D20" s="553" t="s">
        <v>8</v>
      </c>
      <c r="E20" s="552">
        <v>100</v>
      </c>
      <c r="F20" s="554">
        <v>4950000</v>
      </c>
      <c r="G20" s="554">
        <v>4950000</v>
      </c>
      <c r="H20" s="554">
        <v>4950000</v>
      </c>
      <c r="I20" s="554"/>
      <c r="J20" s="554"/>
      <c r="K20" s="554"/>
      <c r="L20" s="554">
        <v>0</v>
      </c>
      <c r="M20" s="554"/>
    </row>
    <row r="21" spans="1:13" ht="20.100000000000001" customHeight="1" x14ac:dyDescent="0.2">
      <c r="A21" s="410" t="str">
        <f t="shared" si="0"/>
        <v>174232-3-142</v>
      </c>
      <c r="B21" s="547">
        <v>174232</v>
      </c>
      <c r="C21" s="548">
        <v>3</v>
      </c>
      <c r="D21" s="549" t="s">
        <v>8</v>
      </c>
      <c r="E21" s="548">
        <v>142</v>
      </c>
      <c r="F21" s="550">
        <v>28680770.41</v>
      </c>
      <c r="G21" s="550">
        <v>28235548.260000002</v>
      </c>
      <c r="H21" s="550">
        <v>14383380.48</v>
      </c>
      <c r="I21" s="550">
        <v>13852167.779999999</v>
      </c>
      <c r="J21" s="550">
        <v>1912141.03</v>
      </c>
      <c r="K21" s="550">
        <v>11940026.75</v>
      </c>
      <c r="L21" s="550">
        <v>778144.1</v>
      </c>
      <c r="M21" s="550">
        <v>0</v>
      </c>
    </row>
    <row r="22" spans="1:13" ht="20.100000000000001" customHeight="1" x14ac:dyDescent="0.2">
      <c r="A22" s="410" t="str">
        <f t="shared" si="0"/>
        <v>174232-4-142</v>
      </c>
      <c r="B22" s="551">
        <v>174232</v>
      </c>
      <c r="C22" s="552">
        <v>4</v>
      </c>
      <c r="D22" s="553" t="s">
        <v>7</v>
      </c>
      <c r="E22" s="552">
        <v>142</v>
      </c>
      <c r="F22" s="554">
        <v>794426.41</v>
      </c>
      <c r="G22" s="554">
        <v>744264.89</v>
      </c>
      <c r="H22" s="554">
        <v>651727</v>
      </c>
      <c r="I22" s="554">
        <v>92537.89</v>
      </c>
      <c r="J22" s="554">
        <v>0</v>
      </c>
      <c r="K22" s="554">
        <v>92537.89</v>
      </c>
      <c r="L22" s="554">
        <v>50161.52</v>
      </c>
      <c r="M22" s="554"/>
    </row>
    <row r="23" spans="1:13" ht="20.100000000000001" customHeight="1" x14ac:dyDescent="0.2">
      <c r="A23" s="410" t="str">
        <f t="shared" si="0"/>
        <v>174233-3-142</v>
      </c>
      <c r="B23" s="547">
        <v>174233</v>
      </c>
      <c r="C23" s="548">
        <v>3</v>
      </c>
      <c r="D23" s="549" t="s">
        <v>8</v>
      </c>
      <c r="E23" s="548">
        <v>142</v>
      </c>
      <c r="F23" s="550">
        <v>200000</v>
      </c>
      <c r="G23" s="550">
        <v>199846.69</v>
      </c>
      <c r="H23" s="550">
        <v>4894.95</v>
      </c>
      <c r="I23" s="550">
        <v>194951.74</v>
      </c>
      <c r="J23" s="550">
        <v>0.01</v>
      </c>
      <c r="K23" s="550">
        <v>194951.73</v>
      </c>
      <c r="L23" s="550">
        <v>153.31</v>
      </c>
      <c r="M23" s="550"/>
    </row>
    <row r="24" spans="1:13" ht="20.100000000000001" customHeight="1" x14ac:dyDescent="0.2">
      <c r="A24" s="410" t="str">
        <f t="shared" si="0"/>
        <v>174233-4-142</v>
      </c>
      <c r="B24" s="551">
        <v>174233</v>
      </c>
      <c r="C24" s="552">
        <v>4</v>
      </c>
      <c r="D24" s="553" t="s">
        <v>7</v>
      </c>
      <c r="E24" s="552">
        <v>142</v>
      </c>
      <c r="F24" s="554">
        <v>148310.16</v>
      </c>
      <c r="G24" s="554">
        <v>147900.16</v>
      </c>
      <c r="H24" s="554">
        <v>142703.16</v>
      </c>
      <c r="I24" s="554">
        <v>5197</v>
      </c>
      <c r="J24" s="554">
        <v>0</v>
      </c>
      <c r="K24" s="554">
        <v>5197</v>
      </c>
      <c r="L24" s="554">
        <v>410</v>
      </c>
      <c r="M24" s="554"/>
    </row>
    <row r="25" spans="1:13" ht="20.100000000000001" customHeight="1" x14ac:dyDescent="0.2">
      <c r="A25" s="410" t="str">
        <f t="shared" si="0"/>
        <v>174234-3-142</v>
      </c>
      <c r="B25" s="547">
        <v>174234</v>
      </c>
      <c r="C25" s="548">
        <v>3</v>
      </c>
      <c r="D25" s="549" t="s">
        <v>8</v>
      </c>
      <c r="E25" s="548">
        <v>142</v>
      </c>
      <c r="F25" s="550">
        <v>1000000</v>
      </c>
      <c r="G25" s="550">
        <v>989723.31</v>
      </c>
      <c r="H25" s="550">
        <v>663986.30000000005</v>
      </c>
      <c r="I25" s="550">
        <v>325737.01</v>
      </c>
      <c r="J25" s="550">
        <v>57293.64</v>
      </c>
      <c r="K25" s="550">
        <v>268443.37</v>
      </c>
      <c r="L25" s="550">
        <v>10276.69</v>
      </c>
      <c r="M25" s="550"/>
    </row>
    <row r="26" spans="1:13" ht="20.100000000000001" customHeight="1" x14ac:dyDescent="0.2">
      <c r="A26" s="410" t="str">
        <f t="shared" si="0"/>
        <v>174234-4-142</v>
      </c>
      <c r="B26" s="551">
        <v>174234</v>
      </c>
      <c r="C26" s="552">
        <v>4</v>
      </c>
      <c r="D26" s="553" t="s">
        <v>7</v>
      </c>
      <c r="E26" s="552">
        <v>142</v>
      </c>
      <c r="F26" s="554">
        <v>979968.62</v>
      </c>
      <c r="G26" s="554">
        <v>967929</v>
      </c>
      <c r="H26" s="554">
        <v>504950</v>
      </c>
      <c r="I26" s="554">
        <v>462979</v>
      </c>
      <c r="J26" s="554">
        <v>201022</v>
      </c>
      <c r="K26" s="554">
        <v>261957</v>
      </c>
      <c r="L26" s="554">
        <v>12039.62</v>
      </c>
      <c r="M26" s="554"/>
    </row>
    <row r="27" spans="1:13" ht="20.100000000000001" customHeight="1" x14ac:dyDescent="0.2">
      <c r="A27" s="410" t="str">
        <f t="shared" si="0"/>
        <v>174235-3-142</v>
      </c>
      <c r="B27" s="547">
        <v>174235</v>
      </c>
      <c r="C27" s="548">
        <v>3</v>
      </c>
      <c r="D27" s="549" t="s">
        <v>8</v>
      </c>
      <c r="E27" s="548">
        <v>142</v>
      </c>
      <c r="F27" s="550">
        <v>132044.17000000001</v>
      </c>
      <c r="G27" s="550">
        <v>131815.70000000001</v>
      </c>
      <c r="H27" s="550">
        <v>27058.27</v>
      </c>
      <c r="I27" s="550">
        <v>104757.43</v>
      </c>
      <c r="J27" s="550">
        <v>1042.97</v>
      </c>
      <c r="K27" s="550">
        <v>103714.46</v>
      </c>
      <c r="L27" s="550">
        <v>228.47</v>
      </c>
      <c r="M27" s="550"/>
    </row>
    <row r="28" spans="1:13" ht="20.100000000000001" customHeight="1" x14ac:dyDescent="0.2">
      <c r="A28" s="410" t="str">
        <f t="shared" si="0"/>
        <v>174236-3-142</v>
      </c>
      <c r="B28" s="551">
        <v>174236</v>
      </c>
      <c r="C28" s="552">
        <v>3</v>
      </c>
      <c r="D28" s="553" t="s">
        <v>8</v>
      </c>
      <c r="E28" s="552">
        <v>142</v>
      </c>
      <c r="F28" s="554">
        <v>131619.51999999999</v>
      </c>
      <c r="G28" s="554">
        <v>130261.75999999999</v>
      </c>
      <c r="H28" s="554">
        <v>47086.76</v>
      </c>
      <c r="I28" s="554">
        <v>83175</v>
      </c>
      <c r="J28" s="554">
        <v>27663.56</v>
      </c>
      <c r="K28" s="554">
        <v>55511.44</v>
      </c>
      <c r="L28" s="554">
        <v>1357.76</v>
      </c>
      <c r="M28" s="554"/>
    </row>
    <row r="29" spans="1:13" ht="20.100000000000001" customHeight="1" x14ac:dyDescent="0.2">
      <c r="A29" s="410" t="str">
        <f t="shared" si="0"/>
        <v>174236-4-142</v>
      </c>
      <c r="B29" s="547">
        <v>174236</v>
      </c>
      <c r="C29" s="548">
        <v>4</v>
      </c>
      <c r="D29" s="549" t="s">
        <v>7</v>
      </c>
      <c r="E29" s="548">
        <v>142</v>
      </c>
      <c r="F29" s="550">
        <v>1386</v>
      </c>
      <c r="G29" s="550">
        <v>0</v>
      </c>
      <c r="H29" s="550">
        <v>0</v>
      </c>
      <c r="I29" s="550"/>
      <c r="J29" s="550"/>
      <c r="K29" s="550"/>
      <c r="L29" s="550">
        <v>1386</v>
      </c>
      <c r="M29" s="550"/>
    </row>
    <row r="30" spans="1:13" ht="20.100000000000001" customHeight="1" x14ac:dyDescent="0.2">
      <c r="A30" s="410" t="str">
        <f t="shared" si="0"/>
        <v>174237-3-142</v>
      </c>
      <c r="B30" s="551">
        <v>174237</v>
      </c>
      <c r="C30" s="552">
        <v>3</v>
      </c>
      <c r="D30" s="553" t="s">
        <v>8</v>
      </c>
      <c r="E30" s="552">
        <v>142</v>
      </c>
      <c r="F30" s="554">
        <v>792367.97</v>
      </c>
      <c r="G30" s="554">
        <v>765944.88</v>
      </c>
      <c r="H30" s="554">
        <v>104454.05</v>
      </c>
      <c r="I30" s="554">
        <v>661490.82999999996</v>
      </c>
      <c r="J30" s="554">
        <v>147139.74</v>
      </c>
      <c r="K30" s="554">
        <v>514351.09</v>
      </c>
      <c r="L30" s="554">
        <v>300123.09000000003</v>
      </c>
      <c r="M30" s="554"/>
    </row>
    <row r="31" spans="1:13" ht="20.100000000000001" customHeight="1" x14ac:dyDescent="0.2">
      <c r="A31" s="410" t="str">
        <f t="shared" si="0"/>
        <v>174237-4-142</v>
      </c>
      <c r="B31" s="547">
        <v>174237</v>
      </c>
      <c r="C31" s="548">
        <v>4</v>
      </c>
      <c r="D31" s="549" t="s">
        <v>7</v>
      </c>
      <c r="E31" s="548">
        <v>142</v>
      </c>
      <c r="F31" s="550">
        <v>145000</v>
      </c>
      <c r="G31" s="550">
        <v>145000</v>
      </c>
      <c r="H31" s="550">
        <v>145000</v>
      </c>
      <c r="I31" s="550"/>
      <c r="J31" s="550"/>
      <c r="K31" s="550"/>
      <c r="L31" s="550">
        <v>0</v>
      </c>
      <c r="M31" s="550"/>
    </row>
    <row r="32" spans="1:13" ht="20.100000000000001" customHeight="1" x14ac:dyDescent="0.2">
      <c r="A32" s="410" t="str">
        <f t="shared" si="0"/>
        <v>174238-3-142</v>
      </c>
      <c r="B32" s="551">
        <v>174238</v>
      </c>
      <c r="C32" s="552">
        <v>3</v>
      </c>
      <c r="D32" s="553" t="s">
        <v>8</v>
      </c>
      <c r="E32" s="552">
        <v>142</v>
      </c>
      <c r="F32" s="554">
        <v>166279.73000000001</v>
      </c>
      <c r="G32" s="554">
        <v>149664.07</v>
      </c>
      <c r="H32" s="554">
        <v>38920.33</v>
      </c>
      <c r="I32" s="554">
        <v>110743.74</v>
      </c>
      <c r="J32" s="554">
        <v>2332.0300000000002</v>
      </c>
      <c r="K32" s="554">
        <v>108411.71</v>
      </c>
      <c r="L32" s="554">
        <v>16615.66</v>
      </c>
      <c r="M32" s="554"/>
    </row>
    <row r="33" spans="1:13" ht="20.100000000000001" customHeight="1" x14ac:dyDescent="0.2">
      <c r="A33" s="410" t="str">
        <f t="shared" si="0"/>
        <v>174239-3-142</v>
      </c>
      <c r="B33" s="547">
        <v>174239</v>
      </c>
      <c r="C33" s="548">
        <v>3</v>
      </c>
      <c r="D33" s="549" t="s">
        <v>8</v>
      </c>
      <c r="E33" s="548">
        <v>142</v>
      </c>
      <c r="F33" s="550">
        <v>5457315.3099999996</v>
      </c>
      <c r="G33" s="550">
        <v>5182562.43</v>
      </c>
      <c r="H33" s="550">
        <v>2674539.34</v>
      </c>
      <c r="I33" s="550">
        <v>2508023.09</v>
      </c>
      <c r="J33" s="550">
        <v>532040.57999999996</v>
      </c>
      <c r="K33" s="550">
        <v>1975982.51</v>
      </c>
      <c r="L33" s="550">
        <v>274752.88</v>
      </c>
      <c r="M33" s="550"/>
    </row>
    <row r="34" spans="1:13" ht="20.100000000000001" customHeight="1" x14ac:dyDescent="0.2">
      <c r="A34" s="410" t="str">
        <f t="shared" si="0"/>
        <v>174239-4-142</v>
      </c>
      <c r="B34" s="551">
        <v>174239</v>
      </c>
      <c r="C34" s="552">
        <v>4</v>
      </c>
      <c r="D34" s="553" t="s">
        <v>7</v>
      </c>
      <c r="E34" s="552">
        <v>142</v>
      </c>
      <c r="F34" s="554">
        <v>921146.55</v>
      </c>
      <c r="G34" s="554">
        <v>825641.55</v>
      </c>
      <c r="H34" s="554">
        <v>823173</v>
      </c>
      <c r="I34" s="554">
        <v>2468.5500000000002</v>
      </c>
      <c r="J34" s="554">
        <v>1976.65</v>
      </c>
      <c r="K34" s="554">
        <v>491.9</v>
      </c>
      <c r="L34" s="554">
        <v>95505</v>
      </c>
      <c r="M34" s="554"/>
    </row>
    <row r="35" spans="1:13" ht="20.100000000000001" customHeight="1" x14ac:dyDescent="0.2">
      <c r="A35" s="410" t="str">
        <f t="shared" si="0"/>
        <v>174239-3-150</v>
      </c>
      <c r="B35" s="547">
        <v>174239</v>
      </c>
      <c r="C35" s="548">
        <v>3</v>
      </c>
      <c r="D35" s="549" t="s">
        <v>8</v>
      </c>
      <c r="E35" s="548">
        <v>150</v>
      </c>
      <c r="F35" s="550">
        <v>1738925.5</v>
      </c>
      <c r="G35" s="550">
        <v>1722138.48</v>
      </c>
      <c r="H35" s="550">
        <v>1203328.95</v>
      </c>
      <c r="I35" s="550">
        <v>518809.53</v>
      </c>
      <c r="J35" s="550">
        <v>29164.77</v>
      </c>
      <c r="K35" s="550">
        <v>489644.76</v>
      </c>
      <c r="L35" s="550">
        <v>16787.02</v>
      </c>
      <c r="M35" s="550"/>
    </row>
    <row r="36" spans="1:13" ht="20.100000000000001" customHeight="1" x14ac:dyDescent="0.2">
      <c r="A36" s="410" t="str">
        <f t="shared" si="0"/>
        <v>174240-3-142</v>
      </c>
      <c r="B36" s="551">
        <v>174240</v>
      </c>
      <c r="C36" s="552">
        <v>3</v>
      </c>
      <c r="D36" s="553" t="s">
        <v>8</v>
      </c>
      <c r="E36" s="552">
        <v>142</v>
      </c>
      <c r="F36" s="554">
        <v>339310.99</v>
      </c>
      <c r="G36" s="554">
        <v>303165.98</v>
      </c>
      <c r="H36" s="554">
        <v>77008.52</v>
      </c>
      <c r="I36" s="554">
        <v>226157.46</v>
      </c>
      <c r="J36" s="554">
        <v>15291.11</v>
      </c>
      <c r="K36" s="554">
        <v>210866.35</v>
      </c>
      <c r="L36" s="554">
        <v>36145.01</v>
      </c>
      <c r="M36" s="554"/>
    </row>
    <row r="37" spans="1:13" ht="20.100000000000001" customHeight="1" x14ac:dyDescent="0.2">
      <c r="A37" s="410" t="str">
        <f t="shared" si="0"/>
        <v>174240-4-142</v>
      </c>
      <c r="B37" s="547">
        <v>174240</v>
      </c>
      <c r="C37" s="548">
        <v>4</v>
      </c>
      <c r="D37" s="549" t="s">
        <v>7</v>
      </c>
      <c r="E37" s="548">
        <v>142</v>
      </c>
      <c r="F37" s="550">
        <v>890871</v>
      </c>
      <c r="G37" s="550">
        <v>890871</v>
      </c>
      <c r="H37" s="550">
        <v>872878</v>
      </c>
      <c r="I37" s="550">
        <v>17993</v>
      </c>
      <c r="J37" s="550">
        <v>17993</v>
      </c>
      <c r="K37" s="550"/>
      <c r="L37" s="550">
        <v>0</v>
      </c>
      <c r="M37" s="550"/>
    </row>
    <row r="38" spans="1:13" ht="20.100000000000001" customHeight="1" x14ac:dyDescent="0.2">
      <c r="A38" s="410" t="str">
        <f t="shared" si="0"/>
        <v>174241-3-142</v>
      </c>
      <c r="B38" s="551">
        <v>174241</v>
      </c>
      <c r="C38" s="552">
        <v>3</v>
      </c>
      <c r="D38" s="553" t="s">
        <v>8</v>
      </c>
      <c r="E38" s="552">
        <v>142</v>
      </c>
      <c r="F38" s="554">
        <v>2230060.59</v>
      </c>
      <c r="G38" s="554">
        <v>2099761.9900000002</v>
      </c>
      <c r="H38" s="554">
        <v>844819.95</v>
      </c>
      <c r="I38" s="554">
        <v>1254942.04</v>
      </c>
      <c r="J38" s="554">
        <v>88186.47</v>
      </c>
      <c r="K38" s="554">
        <v>1166755.57</v>
      </c>
      <c r="L38" s="554">
        <v>130298.6</v>
      </c>
      <c r="M38" s="554"/>
    </row>
    <row r="39" spans="1:13" ht="20.100000000000001" customHeight="1" x14ac:dyDescent="0.2">
      <c r="A39" s="410" t="str">
        <f t="shared" si="0"/>
        <v>174241-4-142</v>
      </c>
      <c r="B39" s="547">
        <v>174241</v>
      </c>
      <c r="C39" s="548">
        <v>4</v>
      </c>
      <c r="D39" s="549" t="s">
        <v>7</v>
      </c>
      <c r="E39" s="548">
        <v>142</v>
      </c>
      <c r="F39" s="550">
        <v>955343.44</v>
      </c>
      <c r="G39" s="550">
        <v>955343.44</v>
      </c>
      <c r="H39" s="550">
        <v>698877.43999999994</v>
      </c>
      <c r="I39" s="550">
        <v>256466</v>
      </c>
      <c r="J39" s="550">
        <v>35986</v>
      </c>
      <c r="K39" s="550">
        <v>220480</v>
      </c>
      <c r="L39" s="550">
        <v>0</v>
      </c>
      <c r="M39" s="550"/>
    </row>
    <row r="40" spans="1:13" ht="20.100000000000001" customHeight="1" x14ac:dyDescent="0.2">
      <c r="A40" s="410" t="str">
        <f t="shared" si="0"/>
        <v>174242-3-142</v>
      </c>
      <c r="B40" s="551">
        <v>174242</v>
      </c>
      <c r="C40" s="552">
        <v>3</v>
      </c>
      <c r="D40" s="553" t="s">
        <v>8</v>
      </c>
      <c r="E40" s="552">
        <v>142</v>
      </c>
      <c r="F40" s="554">
        <v>3345627.48</v>
      </c>
      <c r="G40" s="554">
        <v>3306992.75</v>
      </c>
      <c r="H40" s="554">
        <v>2453925.2000000002</v>
      </c>
      <c r="I40" s="554">
        <v>853067.55</v>
      </c>
      <c r="J40" s="554">
        <v>39966.07</v>
      </c>
      <c r="K40" s="554">
        <v>813101.48</v>
      </c>
      <c r="L40" s="554">
        <v>38634.730000000003</v>
      </c>
      <c r="M40" s="554"/>
    </row>
    <row r="41" spans="1:13" ht="20.100000000000001" customHeight="1" x14ac:dyDescent="0.2">
      <c r="A41" s="410" t="str">
        <f t="shared" si="0"/>
        <v>174242-4-142</v>
      </c>
      <c r="B41" s="547">
        <v>174242</v>
      </c>
      <c r="C41" s="548">
        <v>4</v>
      </c>
      <c r="D41" s="549" t="s">
        <v>7</v>
      </c>
      <c r="E41" s="548">
        <v>142</v>
      </c>
      <c r="F41" s="550">
        <v>1691438.25</v>
      </c>
      <c r="G41" s="550">
        <v>1568144.25</v>
      </c>
      <c r="H41" s="550">
        <v>1369366</v>
      </c>
      <c r="I41" s="550">
        <v>198778.25</v>
      </c>
      <c r="J41" s="550">
        <v>855.25</v>
      </c>
      <c r="K41" s="550">
        <v>197923</v>
      </c>
      <c r="L41" s="550">
        <v>123294</v>
      </c>
      <c r="M41" s="550"/>
    </row>
    <row r="42" spans="1:13" ht="20.100000000000001" customHeight="1" x14ac:dyDescent="0.2">
      <c r="A42" s="410" t="str">
        <f t="shared" si="0"/>
        <v>174243-3-142</v>
      </c>
      <c r="B42" s="551">
        <v>174243</v>
      </c>
      <c r="C42" s="552">
        <v>3</v>
      </c>
      <c r="D42" s="553" t="s">
        <v>8</v>
      </c>
      <c r="E42" s="552">
        <v>142</v>
      </c>
      <c r="F42" s="554">
        <v>138773.84</v>
      </c>
      <c r="G42" s="554">
        <v>137824.32000000001</v>
      </c>
      <c r="H42" s="554">
        <v>4681.3100000000004</v>
      </c>
      <c r="I42" s="554">
        <v>133143.01</v>
      </c>
      <c r="J42" s="554">
        <v>10850.7</v>
      </c>
      <c r="K42" s="554">
        <v>122292.31</v>
      </c>
      <c r="L42" s="554">
        <v>949.52</v>
      </c>
      <c r="M42" s="554"/>
    </row>
    <row r="43" spans="1:13" ht="20.100000000000001" customHeight="1" x14ac:dyDescent="0.2">
      <c r="A43" s="410" t="str">
        <f t="shared" si="0"/>
        <v>174244-3-142</v>
      </c>
      <c r="B43" s="547">
        <v>174244</v>
      </c>
      <c r="C43" s="548">
        <v>3</v>
      </c>
      <c r="D43" s="549" t="s">
        <v>8</v>
      </c>
      <c r="E43" s="548">
        <v>142</v>
      </c>
      <c r="F43" s="550">
        <v>195011.48</v>
      </c>
      <c r="G43" s="550">
        <v>195011.48</v>
      </c>
      <c r="H43" s="550">
        <v>195011.48</v>
      </c>
      <c r="I43" s="550"/>
      <c r="J43" s="550"/>
      <c r="K43" s="550"/>
      <c r="L43" s="550">
        <v>0</v>
      </c>
      <c r="M43" s="550"/>
    </row>
    <row r="44" spans="1:13" ht="20.100000000000001" customHeight="1" x14ac:dyDescent="0.2">
      <c r="A44" s="410" t="str">
        <f t="shared" si="0"/>
        <v>174245-3-142</v>
      </c>
      <c r="B44" s="551">
        <v>174245</v>
      </c>
      <c r="C44" s="552">
        <v>3</v>
      </c>
      <c r="D44" s="553" t="s">
        <v>8</v>
      </c>
      <c r="E44" s="552">
        <v>142</v>
      </c>
      <c r="F44" s="554">
        <v>3313123.81</v>
      </c>
      <c r="G44" s="554">
        <v>3286283.14</v>
      </c>
      <c r="H44" s="554">
        <v>2432884.1</v>
      </c>
      <c r="I44" s="554">
        <v>853399.04000000004</v>
      </c>
      <c r="J44" s="554">
        <v>31353.58</v>
      </c>
      <c r="K44" s="554">
        <v>822045.46</v>
      </c>
      <c r="L44" s="554">
        <v>26840.67</v>
      </c>
      <c r="M44" s="554"/>
    </row>
    <row r="45" spans="1:13" ht="20.100000000000001" customHeight="1" x14ac:dyDescent="0.2">
      <c r="A45" s="410" t="str">
        <f t="shared" si="0"/>
        <v>174245-4-142</v>
      </c>
      <c r="B45" s="547">
        <v>174245</v>
      </c>
      <c r="C45" s="548">
        <v>4</v>
      </c>
      <c r="D45" s="549" t="s">
        <v>7</v>
      </c>
      <c r="E45" s="548">
        <v>142</v>
      </c>
      <c r="F45" s="550">
        <v>2412491.66</v>
      </c>
      <c r="G45" s="550">
        <v>2390611</v>
      </c>
      <c r="H45" s="550">
        <v>2043560</v>
      </c>
      <c r="I45" s="550">
        <v>347051</v>
      </c>
      <c r="J45" s="550">
        <v>0</v>
      </c>
      <c r="K45" s="550">
        <v>347051</v>
      </c>
      <c r="L45" s="550">
        <v>21880.66</v>
      </c>
      <c r="M45" s="550"/>
    </row>
    <row r="46" spans="1:13" ht="20.100000000000001" customHeight="1" x14ac:dyDescent="0.2">
      <c r="A46" s="410" t="str">
        <f t="shared" si="0"/>
        <v>174246-3-142</v>
      </c>
      <c r="B46" s="551">
        <v>174246</v>
      </c>
      <c r="C46" s="552">
        <v>3</v>
      </c>
      <c r="D46" s="553" t="s">
        <v>8</v>
      </c>
      <c r="E46" s="552">
        <v>142</v>
      </c>
      <c r="F46" s="554">
        <v>245329.98</v>
      </c>
      <c r="G46" s="554">
        <v>241231.68</v>
      </c>
      <c r="H46" s="554">
        <v>230000</v>
      </c>
      <c r="I46" s="554">
        <v>11231.68</v>
      </c>
      <c r="J46" s="554">
        <v>1713.95</v>
      </c>
      <c r="K46" s="554">
        <v>9517.73</v>
      </c>
      <c r="L46" s="554">
        <v>4098.3</v>
      </c>
      <c r="M46" s="554"/>
    </row>
    <row r="47" spans="1:13" ht="20.100000000000001" customHeight="1" x14ac:dyDescent="0.2">
      <c r="A47" s="410" t="str">
        <f t="shared" si="0"/>
        <v>174247-3-142</v>
      </c>
      <c r="B47" s="547">
        <v>174247</v>
      </c>
      <c r="C47" s="548">
        <v>3</v>
      </c>
      <c r="D47" s="549" t="s">
        <v>8</v>
      </c>
      <c r="E47" s="548">
        <v>142</v>
      </c>
      <c r="F47" s="550">
        <v>167248.73000000001</v>
      </c>
      <c r="G47" s="550">
        <v>163867.88</v>
      </c>
      <c r="H47" s="550">
        <v>23067.200000000001</v>
      </c>
      <c r="I47" s="550">
        <v>140800.68</v>
      </c>
      <c r="J47" s="550">
        <v>12012.4</v>
      </c>
      <c r="K47" s="550">
        <v>128788.28</v>
      </c>
      <c r="L47" s="550">
        <v>3380.85</v>
      </c>
      <c r="M47" s="550"/>
    </row>
    <row r="48" spans="1:13" ht="20.100000000000001" customHeight="1" x14ac:dyDescent="0.2">
      <c r="A48" s="410" t="str">
        <f t="shared" si="0"/>
        <v>174249-3-142</v>
      </c>
      <c r="B48" s="551">
        <v>174249</v>
      </c>
      <c r="C48" s="552">
        <v>3</v>
      </c>
      <c r="D48" s="553" t="s">
        <v>8</v>
      </c>
      <c r="E48" s="552">
        <v>142</v>
      </c>
      <c r="F48" s="554">
        <v>361557.04</v>
      </c>
      <c r="G48" s="554">
        <v>313140.8</v>
      </c>
      <c r="H48" s="554">
        <v>92172.15</v>
      </c>
      <c r="I48" s="554">
        <v>220968.65</v>
      </c>
      <c r="J48" s="554">
        <v>14780.33</v>
      </c>
      <c r="K48" s="554">
        <v>206188.32</v>
      </c>
      <c r="L48" s="554">
        <v>48416.24</v>
      </c>
      <c r="M48" s="554"/>
    </row>
    <row r="49" spans="1:13" ht="20.100000000000001" customHeight="1" x14ac:dyDescent="0.2">
      <c r="A49" s="410" t="str">
        <f t="shared" si="0"/>
        <v>174249-4-142</v>
      </c>
      <c r="B49" s="547">
        <v>174249</v>
      </c>
      <c r="C49" s="548">
        <v>4</v>
      </c>
      <c r="D49" s="549" t="s">
        <v>7</v>
      </c>
      <c r="E49" s="548">
        <v>142</v>
      </c>
      <c r="F49" s="550">
        <v>299720</v>
      </c>
      <c r="G49" s="550">
        <v>299720</v>
      </c>
      <c r="H49" s="550">
        <v>299720</v>
      </c>
      <c r="I49" s="550"/>
      <c r="J49" s="550"/>
      <c r="K49" s="550"/>
      <c r="L49" s="550">
        <v>0</v>
      </c>
      <c r="M49" s="550"/>
    </row>
    <row r="50" spans="1:13" ht="20.100000000000001" customHeight="1" x14ac:dyDescent="0.2">
      <c r="A50" s="410" t="str">
        <f t="shared" si="0"/>
        <v>174250-3-142</v>
      </c>
      <c r="B50" s="551">
        <v>174250</v>
      </c>
      <c r="C50" s="552">
        <v>3</v>
      </c>
      <c r="D50" s="553" t="s">
        <v>8</v>
      </c>
      <c r="E50" s="552">
        <v>142</v>
      </c>
      <c r="F50" s="554">
        <v>1579000</v>
      </c>
      <c r="G50" s="554">
        <v>1578999.7</v>
      </c>
      <c r="H50" s="554">
        <v>886247.34</v>
      </c>
      <c r="I50" s="554">
        <v>692752.36</v>
      </c>
      <c r="J50" s="554">
        <v>26677.15</v>
      </c>
      <c r="K50" s="554">
        <v>666075.21</v>
      </c>
      <c r="L50" s="554">
        <v>0.3</v>
      </c>
      <c r="M50" s="554"/>
    </row>
    <row r="51" spans="1:13" ht="20.100000000000001" customHeight="1" x14ac:dyDescent="0.2">
      <c r="A51" s="410" t="str">
        <f t="shared" si="0"/>
        <v>174250-4-142</v>
      </c>
      <c r="B51" s="547">
        <v>174250</v>
      </c>
      <c r="C51" s="548">
        <v>4</v>
      </c>
      <c r="D51" s="549" t="s">
        <v>7</v>
      </c>
      <c r="E51" s="548">
        <v>142</v>
      </c>
      <c r="F51" s="550">
        <v>212716</v>
      </c>
      <c r="G51" s="550">
        <v>212716</v>
      </c>
      <c r="H51" s="550">
        <v>212716</v>
      </c>
      <c r="I51" s="550"/>
      <c r="J51" s="550"/>
      <c r="K51" s="550"/>
      <c r="L51" s="550">
        <v>0</v>
      </c>
      <c r="M51" s="550"/>
    </row>
    <row r="52" spans="1:13" ht="20.100000000000001" customHeight="1" x14ac:dyDescent="0.2">
      <c r="A52" s="410" t="str">
        <f t="shared" si="0"/>
        <v>174252-3-142</v>
      </c>
      <c r="B52" s="551">
        <v>174252</v>
      </c>
      <c r="C52" s="552">
        <v>3</v>
      </c>
      <c r="D52" s="553" t="s">
        <v>8</v>
      </c>
      <c r="E52" s="552">
        <v>142</v>
      </c>
      <c r="F52" s="554">
        <v>2144899.59</v>
      </c>
      <c r="G52" s="554">
        <v>1984501.1</v>
      </c>
      <c r="H52" s="554">
        <v>879266.08</v>
      </c>
      <c r="I52" s="554">
        <v>1105235.02</v>
      </c>
      <c r="J52" s="554">
        <v>136732.12</v>
      </c>
      <c r="K52" s="554">
        <v>968502.9</v>
      </c>
      <c r="L52" s="554">
        <v>160398.49</v>
      </c>
      <c r="M52" s="554"/>
    </row>
    <row r="53" spans="1:13" ht="20.100000000000001" customHeight="1" x14ac:dyDescent="0.2">
      <c r="A53" s="410" t="str">
        <f t="shared" si="0"/>
        <v>174253-3-142</v>
      </c>
      <c r="B53" s="547">
        <v>174253</v>
      </c>
      <c r="C53" s="548">
        <v>3</v>
      </c>
      <c r="D53" s="549" t="s">
        <v>8</v>
      </c>
      <c r="E53" s="548">
        <v>142</v>
      </c>
      <c r="F53" s="550">
        <v>235816.15</v>
      </c>
      <c r="G53" s="550">
        <v>209228.52</v>
      </c>
      <c r="H53" s="550">
        <v>92529.97</v>
      </c>
      <c r="I53" s="550">
        <v>116698.55</v>
      </c>
      <c r="J53" s="550">
        <v>32989.339999999997</v>
      </c>
      <c r="K53" s="550">
        <v>83709.210000000006</v>
      </c>
      <c r="L53" s="550">
        <v>26587.63</v>
      </c>
      <c r="M53" s="550"/>
    </row>
    <row r="54" spans="1:13" ht="20.100000000000001" customHeight="1" x14ac:dyDescent="0.2">
      <c r="A54" s="410" t="str">
        <f t="shared" si="0"/>
        <v>174254-3-142</v>
      </c>
      <c r="B54" s="551">
        <v>174254</v>
      </c>
      <c r="C54" s="552">
        <v>3</v>
      </c>
      <c r="D54" s="553" t="s">
        <v>8</v>
      </c>
      <c r="E54" s="552">
        <v>142</v>
      </c>
      <c r="F54" s="554">
        <v>699259.83</v>
      </c>
      <c r="G54" s="554">
        <v>636440.68000000005</v>
      </c>
      <c r="H54" s="554">
        <v>165982.9</v>
      </c>
      <c r="I54" s="554">
        <v>470457.78</v>
      </c>
      <c r="J54" s="554">
        <v>40102.46</v>
      </c>
      <c r="K54" s="554">
        <v>430355.32</v>
      </c>
      <c r="L54" s="554">
        <v>62819.15</v>
      </c>
      <c r="M54" s="554"/>
    </row>
    <row r="55" spans="1:13" ht="20.100000000000001" customHeight="1" x14ac:dyDescent="0.2">
      <c r="A55" s="410" t="str">
        <f t="shared" si="0"/>
        <v>174255-3-142</v>
      </c>
      <c r="B55" s="547">
        <v>174255</v>
      </c>
      <c r="C55" s="548">
        <v>3</v>
      </c>
      <c r="D55" s="549" t="s">
        <v>8</v>
      </c>
      <c r="E55" s="548">
        <v>142</v>
      </c>
      <c r="F55" s="550">
        <v>421000</v>
      </c>
      <c r="G55" s="550">
        <v>421000</v>
      </c>
      <c r="H55" s="550">
        <v>416487.79</v>
      </c>
      <c r="I55" s="550">
        <v>4512.21</v>
      </c>
      <c r="J55" s="550">
        <v>4512.21</v>
      </c>
      <c r="K55" s="550"/>
      <c r="L55" s="550">
        <v>0</v>
      </c>
      <c r="M55" s="550"/>
    </row>
    <row r="56" spans="1:13" ht="20.100000000000001" customHeight="1" x14ac:dyDescent="0.2">
      <c r="A56" s="410" t="str">
        <f t="shared" si="0"/>
        <v>174256-3-142</v>
      </c>
      <c r="B56" s="551">
        <v>174256</v>
      </c>
      <c r="C56" s="552">
        <v>3</v>
      </c>
      <c r="D56" s="553" t="s">
        <v>8</v>
      </c>
      <c r="E56" s="552">
        <v>142</v>
      </c>
      <c r="F56" s="554">
        <v>298046.99</v>
      </c>
      <c r="G56" s="554">
        <v>298046.99</v>
      </c>
      <c r="H56" s="554">
        <v>272559.83</v>
      </c>
      <c r="I56" s="554">
        <v>25487.16</v>
      </c>
      <c r="J56" s="554">
        <v>0</v>
      </c>
      <c r="K56" s="554">
        <v>25487.16</v>
      </c>
      <c r="L56" s="554">
        <v>0</v>
      </c>
      <c r="M56" s="554"/>
    </row>
    <row r="57" spans="1:13" ht="20.100000000000001" customHeight="1" x14ac:dyDescent="0.2">
      <c r="A57" s="410" t="str">
        <f t="shared" si="0"/>
        <v>174257-3-142</v>
      </c>
      <c r="B57" s="547">
        <v>174257</v>
      </c>
      <c r="C57" s="548">
        <v>3</v>
      </c>
      <c r="D57" s="549" t="s">
        <v>8</v>
      </c>
      <c r="E57" s="548">
        <v>142</v>
      </c>
      <c r="F57" s="550">
        <v>3913610</v>
      </c>
      <c r="G57" s="550">
        <v>3786109.16</v>
      </c>
      <c r="H57" s="550">
        <v>3015688.72</v>
      </c>
      <c r="I57" s="550">
        <v>770420.44</v>
      </c>
      <c r="J57" s="550">
        <v>81135.820000000007</v>
      </c>
      <c r="K57" s="550">
        <v>689284.62</v>
      </c>
      <c r="L57" s="550">
        <v>127500.84</v>
      </c>
      <c r="M57" s="550"/>
    </row>
    <row r="58" spans="1:13" ht="20.100000000000001" customHeight="1" x14ac:dyDescent="0.2">
      <c r="A58" s="410" t="str">
        <f t="shared" si="0"/>
        <v>174257-4-142</v>
      </c>
      <c r="B58" s="551">
        <v>174257</v>
      </c>
      <c r="C58" s="552">
        <v>4</v>
      </c>
      <c r="D58" s="553" t="s">
        <v>7</v>
      </c>
      <c r="E58" s="552">
        <v>142</v>
      </c>
      <c r="F58" s="554">
        <v>190000</v>
      </c>
      <c r="G58" s="554">
        <v>190000</v>
      </c>
      <c r="H58" s="554">
        <v>190000</v>
      </c>
      <c r="I58" s="554"/>
      <c r="J58" s="554"/>
      <c r="K58" s="554"/>
      <c r="L58" s="554">
        <v>0</v>
      </c>
      <c r="M58" s="554"/>
    </row>
    <row r="59" spans="1:13" ht="20.100000000000001" customHeight="1" x14ac:dyDescent="0.2">
      <c r="A59" s="410" t="str">
        <f t="shared" si="0"/>
        <v>174258-3-142</v>
      </c>
      <c r="B59" s="547">
        <v>174258</v>
      </c>
      <c r="C59" s="548">
        <v>3</v>
      </c>
      <c r="D59" s="549" t="s">
        <v>8</v>
      </c>
      <c r="E59" s="548">
        <v>142</v>
      </c>
      <c r="F59" s="550">
        <v>1493393.31</v>
      </c>
      <c r="G59" s="550">
        <v>1391774.01</v>
      </c>
      <c r="H59" s="550">
        <v>778343.99</v>
      </c>
      <c r="I59" s="550">
        <v>613430.02</v>
      </c>
      <c r="J59" s="550">
        <v>19104.96</v>
      </c>
      <c r="K59" s="550">
        <v>594325.06000000006</v>
      </c>
      <c r="L59" s="550">
        <v>101619.3</v>
      </c>
      <c r="M59" s="550"/>
    </row>
    <row r="60" spans="1:13" ht="20.100000000000001" customHeight="1" x14ac:dyDescent="0.2">
      <c r="A60" s="410" t="str">
        <f t="shared" si="0"/>
        <v>174258-4-142</v>
      </c>
      <c r="B60" s="551">
        <v>174258</v>
      </c>
      <c r="C60" s="552">
        <v>4</v>
      </c>
      <c r="D60" s="553" t="s">
        <v>7</v>
      </c>
      <c r="E60" s="552">
        <v>142</v>
      </c>
      <c r="F60" s="554">
        <v>674804</v>
      </c>
      <c r="G60" s="554">
        <v>668895.89</v>
      </c>
      <c r="H60" s="554">
        <v>668895.89</v>
      </c>
      <c r="I60" s="554"/>
      <c r="J60" s="554"/>
      <c r="K60" s="554"/>
      <c r="L60" s="554">
        <v>5908.11</v>
      </c>
      <c r="M60" s="554"/>
    </row>
    <row r="61" spans="1:13" ht="20.100000000000001" customHeight="1" x14ac:dyDescent="0.2">
      <c r="A61" s="410" t="str">
        <f t="shared" si="0"/>
        <v>174259-3-142</v>
      </c>
      <c r="B61" s="547">
        <v>174259</v>
      </c>
      <c r="C61" s="548">
        <v>3</v>
      </c>
      <c r="D61" s="549" t="s">
        <v>8</v>
      </c>
      <c r="E61" s="548">
        <v>142</v>
      </c>
      <c r="F61" s="550">
        <v>146789.89000000001</v>
      </c>
      <c r="G61" s="550">
        <v>143222.60999999999</v>
      </c>
      <c r="H61" s="550">
        <v>61040.68</v>
      </c>
      <c r="I61" s="550">
        <v>82181.929999999993</v>
      </c>
      <c r="J61" s="550">
        <v>18038.330000000002</v>
      </c>
      <c r="K61" s="550">
        <v>64143.6</v>
      </c>
      <c r="L61" s="550">
        <v>3567.28</v>
      </c>
      <c r="M61" s="550"/>
    </row>
    <row r="62" spans="1:13" ht="20.100000000000001" customHeight="1" x14ac:dyDescent="0.2">
      <c r="A62" s="410" t="str">
        <f t="shared" si="0"/>
        <v>174260-3-142</v>
      </c>
      <c r="B62" s="551">
        <v>174260</v>
      </c>
      <c r="C62" s="552">
        <v>3</v>
      </c>
      <c r="D62" s="553" t="s">
        <v>8</v>
      </c>
      <c r="E62" s="552">
        <v>142</v>
      </c>
      <c r="F62" s="554">
        <v>1563075.74</v>
      </c>
      <c r="G62" s="554">
        <v>1200856.75</v>
      </c>
      <c r="H62" s="554">
        <v>531600.80000000005</v>
      </c>
      <c r="I62" s="554">
        <v>669255.94999999995</v>
      </c>
      <c r="J62" s="554">
        <v>126282.65</v>
      </c>
      <c r="K62" s="554">
        <v>542973.30000000005</v>
      </c>
      <c r="L62" s="554">
        <v>362218.99</v>
      </c>
      <c r="M62" s="554"/>
    </row>
    <row r="63" spans="1:13" ht="20.100000000000001" customHeight="1" x14ac:dyDescent="0.2">
      <c r="A63" s="410" t="str">
        <f t="shared" si="0"/>
        <v>174261-3-142</v>
      </c>
      <c r="B63" s="547">
        <v>174261</v>
      </c>
      <c r="C63" s="548">
        <v>3</v>
      </c>
      <c r="D63" s="549" t="s">
        <v>8</v>
      </c>
      <c r="E63" s="548">
        <v>142</v>
      </c>
      <c r="F63" s="550">
        <v>14899999.689999999</v>
      </c>
      <c r="G63" s="550">
        <v>14899999.689999999</v>
      </c>
      <c r="H63" s="550">
        <v>14439840.43</v>
      </c>
      <c r="I63" s="550">
        <v>460159.26</v>
      </c>
      <c r="J63" s="550">
        <v>9566.1299999999992</v>
      </c>
      <c r="K63" s="550">
        <v>450593.13</v>
      </c>
      <c r="L63" s="550">
        <v>0</v>
      </c>
      <c r="M63" s="550"/>
    </row>
    <row r="64" spans="1:13" ht="20.100000000000001" customHeight="1" x14ac:dyDescent="0.2">
      <c r="A64" s="410" t="str">
        <f t="shared" si="0"/>
        <v>174262-3-142</v>
      </c>
      <c r="B64" s="551">
        <v>174262</v>
      </c>
      <c r="C64" s="552">
        <v>3</v>
      </c>
      <c r="D64" s="553" t="s">
        <v>8</v>
      </c>
      <c r="E64" s="552">
        <v>142</v>
      </c>
      <c r="F64" s="554">
        <v>1979722.52</v>
      </c>
      <c r="G64" s="554">
        <v>1966948.31</v>
      </c>
      <c r="H64" s="554">
        <v>1290700.0900000001</v>
      </c>
      <c r="I64" s="554">
        <v>676248.22</v>
      </c>
      <c r="J64" s="554">
        <v>244358.43</v>
      </c>
      <c r="K64" s="554">
        <v>431889.79</v>
      </c>
      <c r="L64" s="554">
        <v>12774.21</v>
      </c>
      <c r="M64" s="554"/>
    </row>
    <row r="65" spans="1:13" ht="20.100000000000001" customHeight="1" x14ac:dyDescent="0.2">
      <c r="A65" s="410" t="str">
        <f t="shared" si="0"/>
        <v>174262-4-142</v>
      </c>
      <c r="B65" s="547">
        <v>174262</v>
      </c>
      <c r="C65" s="548">
        <v>4</v>
      </c>
      <c r="D65" s="549" t="s">
        <v>7</v>
      </c>
      <c r="E65" s="548">
        <v>142</v>
      </c>
      <c r="F65" s="550">
        <v>489288.8</v>
      </c>
      <c r="G65" s="550">
        <v>489288.8</v>
      </c>
      <c r="H65" s="550">
        <v>489288.8</v>
      </c>
      <c r="I65" s="550"/>
      <c r="J65" s="550"/>
      <c r="K65" s="550"/>
      <c r="L65" s="550">
        <v>0</v>
      </c>
      <c r="M65" s="550"/>
    </row>
    <row r="66" spans="1:13" ht="20.100000000000001" customHeight="1" x14ac:dyDescent="0.2">
      <c r="A66" s="410" t="str">
        <f t="shared" si="0"/>
        <v>174263-3-142</v>
      </c>
      <c r="B66" s="551">
        <v>174263</v>
      </c>
      <c r="C66" s="552">
        <v>3</v>
      </c>
      <c r="D66" s="553" t="s">
        <v>8</v>
      </c>
      <c r="E66" s="552">
        <v>142</v>
      </c>
      <c r="F66" s="554">
        <v>617156.42000000004</v>
      </c>
      <c r="G66" s="554">
        <v>565083.97</v>
      </c>
      <c r="H66" s="554">
        <v>409082.35</v>
      </c>
      <c r="I66" s="554">
        <v>156001.62</v>
      </c>
      <c r="J66" s="554">
        <v>34412.14</v>
      </c>
      <c r="K66" s="554">
        <v>121589.48</v>
      </c>
      <c r="L66" s="554">
        <v>52072.45</v>
      </c>
      <c r="M66" s="554"/>
    </row>
    <row r="67" spans="1:13" ht="20.100000000000001" customHeight="1" x14ac:dyDescent="0.2">
      <c r="A67" s="410" t="str">
        <f t="shared" si="0"/>
        <v>174263-4-142</v>
      </c>
      <c r="B67" s="547">
        <v>174263</v>
      </c>
      <c r="C67" s="548">
        <v>4</v>
      </c>
      <c r="D67" s="549" t="s">
        <v>7</v>
      </c>
      <c r="E67" s="548">
        <v>142</v>
      </c>
      <c r="F67" s="550">
        <v>426406</v>
      </c>
      <c r="G67" s="550">
        <v>400000</v>
      </c>
      <c r="H67" s="550">
        <v>400000</v>
      </c>
      <c r="I67" s="550"/>
      <c r="J67" s="550"/>
      <c r="K67" s="550"/>
      <c r="L67" s="550">
        <v>26406</v>
      </c>
      <c r="M67" s="550"/>
    </row>
    <row r="68" spans="1:13" ht="20.100000000000001" customHeight="1" x14ac:dyDescent="0.2">
      <c r="A68" s="410" t="str">
        <f t="shared" si="0"/>
        <v>174264-3-142</v>
      </c>
      <c r="B68" s="551">
        <v>174264</v>
      </c>
      <c r="C68" s="552">
        <v>3</v>
      </c>
      <c r="D68" s="553" t="s">
        <v>8</v>
      </c>
      <c r="E68" s="552">
        <v>142</v>
      </c>
      <c r="F68" s="554">
        <v>3300000</v>
      </c>
      <c r="G68" s="554">
        <v>2296481.19</v>
      </c>
      <c r="H68" s="554">
        <v>1385713.68</v>
      </c>
      <c r="I68" s="554">
        <v>910767.51</v>
      </c>
      <c r="J68" s="554">
        <v>95843.57</v>
      </c>
      <c r="K68" s="554">
        <v>814923.94</v>
      </c>
      <c r="L68" s="554">
        <v>1003518.81</v>
      </c>
      <c r="M68" s="554"/>
    </row>
    <row r="69" spans="1:13" ht="20.100000000000001" customHeight="1" x14ac:dyDescent="0.2">
      <c r="A69" s="410" t="str">
        <f t="shared" si="0"/>
        <v>174264-4-142</v>
      </c>
      <c r="B69" s="547">
        <v>174264</v>
      </c>
      <c r="C69" s="548">
        <v>4</v>
      </c>
      <c r="D69" s="549" t="s">
        <v>7</v>
      </c>
      <c r="E69" s="548">
        <v>142</v>
      </c>
      <c r="F69" s="550">
        <v>747782.25</v>
      </c>
      <c r="G69" s="550">
        <v>747782.25</v>
      </c>
      <c r="H69" s="550">
        <v>707126.25</v>
      </c>
      <c r="I69" s="550">
        <v>40656</v>
      </c>
      <c r="J69" s="550">
        <v>3099</v>
      </c>
      <c r="K69" s="550">
        <v>37557</v>
      </c>
      <c r="L69" s="550">
        <v>0</v>
      </c>
      <c r="M69" s="550"/>
    </row>
    <row r="70" spans="1:13" ht="20.100000000000001" customHeight="1" x14ac:dyDescent="0.2">
      <c r="A70" s="410" t="str">
        <f t="shared" si="0"/>
        <v>174265-3-142</v>
      </c>
      <c r="B70" s="551">
        <v>174265</v>
      </c>
      <c r="C70" s="552">
        <v>3</v>
      </c>
      <c r="D70" s="553" t="s">
        <v>8</v>
      </c>
      <c r="E70" s="552">
        <v>142</v>
      </c>
      <c r="F70" s="554">
        <v>354024.79</v>
      </c>
      <c r="G70" s="554">
        <v>290006.71999999997</v>
      </c>
      <c r="H70" s="554">
        <v>65840.320000000007</v>
      </c>
      <c r="I70" s="554">
        <v>224166.39999999999</v>
      </c>
      <c r="J70" s="554">
        <v>32025.87</v>
      </c>
      <c r="K70" s="554">
        <v>192140.53</v>
      </c>
      <c r="L70" s="554">
        <v>64018.07</v>
      </c>
      <c r="M70" s="554"/>
    </row>
    <row r="71" spans="1:13" ht="20.100000000000001" customHeight="1" x14ac:dyDescent="0.2">
      <c r="A71" s="410" t="str">
        <f t="shared" ref="A71:A85" si="1">CONCATENATE(B71,"-",C71,"-",E71)</f>
        <v>174267-3-142</v>
      </c>
      <c r="B71" s="547">
        <v>174267</v>
      </c>
      <c r="C71" s="548">
        <v>3</v>
      </c>
      <c r="D71" s="549" t="s">
        <v>8</v>
      </c>
      <c r="E71" s="548">
        <v>142</v>
      </c>
      <c r="F71" s="550">
        <v>1367529.97</v>
      </c>
      <c r="G71" s="550">
        <v>1260009.8400000001</v>
      </c>
      <c r="H71" s="550">
        <v>258182.9</v>
      </c>
      <c r="I71" s="550">
        <v>1001826.94</v>
      </c>
      <c r="J71" s="550">
        <v>73064.69</v>
      </c>
      <c r="K71" s="550">
        <v>928762.25</v>
      </c>
      <c r="L71" s="550">
        <v>107520.13</v>
      </c>
      <c r="M71" s="550"/>
    </row>
    <row r="72" spans="1:13" ht="20.100000000000001" customHeight="1" x14ac:dyDescent="0.2">
      <c r="A72" s="410" t="str">
        <f t="shared" si="1"/>
        <v>174267-4-142</v>
      </c>
      <c r="B72" s="551">
        <v>174267</v>
      </c>
      <c r="C72" s="552">
        <v>4</v>
      </c>
      <c r="D72" s="553" t="s">
        <v>7</v>
      </c>
      <c r="E72" s="552">
        <v>142</v>
      </c>
      <c r="F72" s="554">
        <v>110000</v>
      </c>
      <c r="G72" s="554">
        <v>110000</v>
      </c>
      <c r="H72" s="554">
        <v>110000</v>
      </c>
      <c r="I72" s="554"/>
      <c r="J72" s="554"/>
      <c r="K72" s="554"/>
      <c r="L72" s="554">
        <v>0</v>
      </c>
      <c r="M72" s="554"/>
    </row>
    <row r="73" spans="1:13" ht="20.100000000000001" customHeight="1" x14ac:dyDescent="0.2">
      <c r="A73" s="410" t="str">
        <f t="shared" si="1"/>
        <v>174268-3-142</v>
      </c>
      <c r="B73" s="547">
        <v>174268</v>
      </c>
      <c r="C73" s="548">
        <v>3</v>
      </c>
      <c r="D73" s="549" t="s">
        <v>8</v>
      </c>
      <c r="E73" s="548">
        <v>142</v>
      </c>
      <c r="F73" s="550">
        <v>699994.5</v>
      </c>
      <c r="G73" s="550">
        <v>662400.73</v>
      </c>
      <c r="H73" s="550">
        <v>359924.17</v>
      </c>
      <c r="I73" s="550">
        <v>302476.56</v>
      </c>
      <c r="J73" s="550">
        <v>37766.89</v>
      </c>
      <c r="K73" s="550">
        <v>264709.67</v>
      </c>
      <c r="L73" s="550">
        <v>37593.769999999997</v>
      </c>
      <c r="M73" s="550"/>
    </row>
    <row r="74" spans="1:13" ht="20.100000000000001" customHeight="1" x14ac:dyDescent="0.2">
      <c r="A74" s="410" t="str">
        <f t="shared" si="1"/>
        <v>174268-4-142</v>
      </c>
      <c r="B74" s="551">
        <v>174268</v>
      </c>
      <c r="C74" s="552">
        <v>4</v>
      </c>
      <c r="D74" s="553" t="s">
        <v>7</v>
      </c>
      <c r="E74" s="552">
        <v>142</v>
      </c>
      <c r="F74" s="554">
        <v>15814.9</v>
      </c>
      <c r="G74" s="554">
        <v>12000</v>
      </c>
      <c r="H74" s="554">
        <v>12000</v>
      </c>
      <c r="I74" s="554"/>
      <c r="J74" s="554"/>
      <c r="K74" s="554"/>
      <c r="L74" s="554">
        <v>3814.9</v>
      </c>
      <c r="M74" s="554"/>
    </row>
    <row r="75" spans="1:13" ht="20.100000000000001" customHeight="1" x14ac:dyDescent="0.2">
      <c r="A75" s="410" t="str">
        <f t="shared" si="1"/>
        <v>174269-3-142</v>
      </c>
      <c r="B75" s="547">
        <v>174269</v>
      </c>
      <c r="C75" s="548">
        <v>3</v>
      </c>
      <c r="D75" s="549" t="s">
        <v>8</v>
      </c>
      <c r="E75" s="548">
        <v>142</v>
      </c>
      <c r="F75" s="550">
        <v>4136705.07</v>
      </c>
      <c r="G75" s="550">
        <v>3352757.02</v>
      </c>
      <c r="H75" s="550">
        <v>971785.51</v>
      </c>
      <c r="I75" s="550">
        <v>2380971.5099999998</v>
      </c>
      <c r="J75" s="550">
        <v>370159.84</v>
      </c>
      <c r="K75" s="550">
        <v>2010811.67</v>
      </c>
      <c r="L75" s="550">
        <v>783948.05</v>
      </c>
      <c r="M75" s="550"/>
    </row>
    <row r="76" spans="1:13" ht="20.100000000000001" customHeight="1" x14ac:dyDescent="0.2">
      <c r="A76" s="410" t="str">
        <f t="shared" si="1"/>
        <v>174270-3-142</v>
      </c>
      <c r="B76" s="551">
        <v>174270</v>
      </c>
      <c r="C76" s="552">
        <v>3</v>
      </c>
      <c r="D76" s="553" t="s">
        <v>8</v>
      </c>
      <c r="E76" s="552">
        <v>142</v>
      </c>
      <c r="F76" s="554">
        <v>2487457.56</v>
      </c>
      <c r="G76" s="554">
        <v>2161006.2599999998</v>
      </c>
      <c r="H76" s="554">
        <v>1818737.57</v>
      </c>
      <c r="I76" s="554">
        <v>342268.69</v>
      </c>
      <c r="J76" s="554">
        <v>221942.59</v>
      </c>
      <c r="K76" s="554">
        <v>120326.1</v>
      </c>
      <c r="L76" s="554">
        <v>326451.3</v>
      </c>
      <c r="M76" s="554"/>
    </row>
    <row r="77" spans="1:13" ht="20.100000000000001" customHeight="1" x14ac:dyDescent="0.2">
      <c r="A77" s="410" t="str">
        <f t="shared" si="1"/>
        <v>174271-3-142</v>
      </c>
      <c r="B77" s="547">
        <v>174271</v>
      </c>
      <c r="C77" s="548">
        <v>3</v>
      </c>
      <c r="D77" s="549" t="s">
        <v>8</v>
      </c>
      <c r="E77" s="548">
        <v>142</v>
      </c>
      <c r="F77" s="550">
        <v>403685.61</v>
      </c>
      <c r="G77" s="550">
        <v>355159.06</v>
      </c>
      <c r="H77" s="550">
        <v>78501.919999999998</v>
      </c>
      <c r="I77" s="550">
        <v>276657.14</v>
      </c>
      <c r="J77" s="550">
        <v>24602.32</v>
      </c>
      <c r="K77" s="550">
        <v>252054.82</v>
      </c>
      <c r="L77" s="550">
        <v>48526.55</v>
      </c>
      <c r="M77" s="550"/>
    </row>
    <row r="78" spans="1:13" ht="20.100000000000001" customHeight="1" x14ac:dyDescent="0.2">
      <c r="A78" s="410" t="str">
        <f t="shared" si="1"/>
        <v>174271-4-142</v>
      </c>
      <c r="B78" s="551">
        <v>174271</v>
      </c>
      <c r="C78" s="552">
        <v>4</v>
      </c>
      <c r="D78" s="553" t="s">
        <v>7</v>
      </c>
      <c r="E78" s="552">
        <v>142</v>
      </c>
      <c r="F78" s="554">
        <v>100000</v>
      </c>
      <c r="G78" s="554">
        <v>100000</v>
      </c>
      <c r="H78" s="554">
        <v>100000</v>
      </c>
      <c r="I78" s="554"/>
      <c r="J78" s="554"/>
      <c r="K78" s="554"/>
      <c r="L78" s="554">
        <v>0</v>
      </c>
      <c r="M78" s="554"/>
    </row>
    <row r="79" spans="1:13" ht="20.100000000000001" customHeight="1" x14ac:dyDescent="0.2">
      <c r="A79" s="410" t="str">
        <f t="shared" si="1"/>
        <v>174272-3-142</v>
      </c>
      <c r="B79" s="547">
        <v>174272</v>
      </c>
      <c r="C79" s="548">
        <v>3</v>
      </c>
      <c r="D79" s="549" t="s">
        <v>8</v>
      </c>
      <c r="E79" s="548">
        <v>142</v>
      </c>
      <c r="F79" s="550">
        <v>397075.69</v>
      </c>
      <c r="G79" s="550">
        <v>347241.47</v>
      </c>
      <c r="H79" s="550">
        <v>175661.93</v>
      </c>
      <c r="I79" s="550">
        <v>171579.54</v>
      </c>
      <c r="J79" s="550">
        <v>16206.44</v>
      </c>
      <c r="K79" s="550">
        <v>155373.1</v>
      </c>
      <c r="L79" s="550">
        <v>49834.22</v>
      </c>
      <c r="M79" s="550"/>
    </row>
    <row r="80" spans="1:13" ht="20.100000000000001" customHeight="1" x14ac:dyDescent="0.2">
      <c r="A80" s="410" t="str">
        <f t="shared" si="1"/>
        <v>174273-3-142</v>
      </c>
      <c r="B80" s="551">
        <v>174273</v>
      </c>
      <c r="C80" s="552">
        <v>3</v>
      </c>
      <c r="D80" s="553" t="s">
        <v>8</v>
      </c>
      <c r="E80" s="552">
        <v>142</v>
      </c>
      <c r="F80" s="554">
        <v>1000000</v>
      </c>
      <c r="G80" s="554">
        <v>1000000</v>
      </c>
      <c r="H80" s="554">
        <v>1000000</v>
      </c>
      <c r="I80" s="554"/>
      <c r="J80" s="554"/>
      <c r="K80" s="554"/>
      <c r="L80" s="554">
        <v>0</v>
      </c>
      <c r="M80" s="554"/>
    </row>
    <row r="81" spans="1:13" ht="20.100000000000001" customHeight="1" x14ac:dyDescent="0.2">
      <c r="A81" s="410" t="str">
        <f t="shared" si="1"/>
        <v>195063-3-100</v>
      </c>
      <c r="B81" s="547">
        <v>195063</v>
      </c>
      <c r="C81" s="548">
        <v>3</v>
      </c>
      <c r="D81" s="549" t="s">
        <v>8</v>
      </c>
      <c r="E81" s="548">
        <v>100</v>
      </c>
      <c r="F81" s="550">
        <v>780411.41</v>
      </c>
      <c r="G81" s="550">
        <v>763292.49</v>
      </c>
      <c r="H81" s="550">
        <v>1881.32</v>
      </c>
      <c r="I81" s="550">
        <v>761411.17</v>
      </c>
      <c r="J81" s="550">
        <v>0</v>
      </c>
      <c r="K81" s="550">
        <v>761411.17</v>
      </c>
      <c r="L81" s="550">
        <v>17118.919999999998</v>
      </c>
      <c r="M81" s="550"/>
    </row>
    <row r="82" spans="1:13" ht="20.100000000000001" customHeight="1" x14ac:dyDescent="0.2">
      <c r="A82" s="410" t="str">
        <f t="shared" si="1"/>
        <v>195065-3-100</v>
      </c>
      <c r="B82" s="551">
        <v>195065</v>
      </c>
      <c r="C82" s="552">
        <v>3</v>
      </c>
      <c r="D82" s="553" t="s">
        <v>8</v>
      </c>
      <c r="E82" s="552">
        <v>100</v>
      </c>
      <c r="F82" s="554">
        <v>100365.26</v>
      </c>
      <c r="G82" s="554">
        <v>98720.7</v>
      </c>
      <c r="H82" s="554">
        <v>1727.64</v>
      </c>
      <c r="I82" s="554">
        <v>96993.06</v>
      </c>
      <c r="J82" s="554">
        <v>220.34</v>
      </c>
      <c r="K82" s="554">
        <v>96772.72</v>
      </c>
      <c r="L82" s="554">
        <v>1644.56</v>
      </c>
      <c r="M82" s="554"/>
    </row>
    <row r="83" spans="1:13" ht="20.100000000000001" customHeight="1" x14ac:dyDescent="0.2">
      <c r="A83" s="410" t="str">
        <f t="shared" si="1"/>
        <v>195067-3-100</v>
      </c>
      <c r="B83" s="547">
        <v>195067</v>
      </c>
      <c r="C83" s="548">
        <v>3</v>
      </c>
      <c r="D83" s="549" t="s">
        <v>8</v>
      </c>
      <c r="E83" s="548">
        <v>100</v>
      </c>
      <c r="F83" s="550">
        <v>8645406.3200000003</v>
      </c>
      <c r="G83" s="550">
        <v>8645406.3200000003</v>
      </c>
      <c r="H83" s="550">
        <v>36181.089999999997</v>
      </c>
      <c r="I83" s="550">
        <v>8609225.2300000004</v>
      </c>
      <c r="J83" s="550">
        <v>0</v>
      </c>
      <c r="K83" s="550">
        <v>8609225.2300000004</v>
      </c>
      <c r="L83" s="550">
        <v>0</v>
      </c>
      <c r="M83" s="550"/>
    </row>
    <row r="84" spans="1:13" ht="20.100000000000001" customHeight="1" x14ac:dyDescent="0.2">
      <c r="A84" s="410" t="str">
        <f t="shared" si="1"/>
        <v>204816-3-181</v>
      </c>
      <c r="B84" s="551">
        <v>204816</v>
      </c>
      <c r="C84" s="552">
        <v>3</v>
      </c>
      <c r="D84" s="553" t="s">
        <v>8</v>
      </c>
      <c r="E84" s="552">
        <v>181</v>
      </c>
      <c r="F84" s="554">
        <v>356812.77</v>
      </c>
      <c r="G84" s="554">
        <v>306994.23</v>
      </c>
      <c r="H84" s="554">
        <v>12775.04</v>
      </c>
      <c r="I84" s="554">
        <v>294219.19</v>
      </c>
      <c r="J84" s="554">
        <v>0</v>
      </c>
      <c r="K84" s="554">
        <v>294219.19</v>
      </c>
      <c r="L84" s="554">
        <v>49818.54</v>
      </c>
      <c r="M84" s="554"/>
    </row>
    <row r="85" spans="1:13" ht="20.100000000000001" customHeight="1" x14ac:dyDescent="0.2">
      <c r="A85" s="410" t="str">
        <f t="shared" si="1"/>
        <v>204817-3-181</v>
      </c>
      <c r="B85" s="547">
        <v>204817</v>
      </c>
      <c r="C85" s="548">
        <v>3</v>
      </c>
      <c r="D85" s="549" t="s">
        <v>8</v>
      </c>
      <c r="E85" s="548">
        <v>181</v>
      </c>
      <c r="F85" s="550">
        <v>113548.63</v>
      </c>
      <c r="G85" s="550">
        <v>101879.07</v>
      </c>
      <c r="H85" s="550">
        <v>23212.3</v>
      </c>
      <c r="I85" s="550">
        <v>78666.77</v>
      </c>
      <c r="J85" s="550">
        <v>1428.19</v>
      </c>
      <c r="K85" s="550">
        <v>77238.58</v>
      </c>
      <c r="L85" s="550">
        <v>11669.56</v>
      </c>
      <c r="M85" s="550"/>
    </row>
    <row r="86" spans="1:13" ht="20.100000000000001" customHeight="1" x14ac:dyDescent="0.2">
      <c r="B86" s="555" t="s">
        <v>9</v>
      </c>
      <c r="C86" s="556"/>
      <c r="D86" s="556"/>
      <c r="E86" s="555"/>
      <c r="F86" s="557">
        <v>362129763.41000003</v>
      </c>
      <c r="G86" s="557">
        <v>352873040.49000001</v>
      </c>
      <c r="H86" s="557">
        <v>91983915</v>
      </c>
      <c r="I86" s="557">
        <v>260889125.49000001</v>
      </c>
      <c r="J86" s="557">
        <v>10716368.57</v>
      </c>
      <c r="K86" s="557">
        <v>250172756.91999999</v>
      </c>
      <c r="L86" s="557">
        <v>9863344.8699999992</v>
      </c>
      <c r="M86" s="557">
        <v>0</v>
      </c>
    </row>
    <row r="88" spans="1:13" ht="20.100000000000001" customHeight="1" x14ac:dyDescent="0.2">
      <c r="G88" s="458">
        <f>G86-'Execução Orçamentária'!R417</f>
        <v>0</v>
      </c>
      <c r="I88" s="458">
        <f>I86-'Execução Orçamentária'!S417</f>
        <v>0</v>
      </c>
      <c r="K88" s="458">
        <f>K86-'Execução Orçamentária'!T417</f>
        <v>0</v>
      </c>
    </row>
    <row r="91" spans="1:13" ht="20.100000000000001" customHeight="1" x14ac:dyDescent="0.2">
      <c r="I91" s="459"/>
    </row>
  </sheetData>
  <autoFilter ref="A4:M86">
    <filterColumn colId="2" showButton="0"/>
  </autoFilter>
  <mergeCells count="13">
    <mergeCell ref="C86:D86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Q11" sqref="Q11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0" t="s">
        <v>62</v>
      </c>
      <c r="C3" s="491"/>
      <c r="D3" s="490" t="s">
        <v>63</v>
      </c>
      <c r="E3" s="464" t="s">
        <v>123</v>
      </c>
      <c r="F3" s="460" t="s">
        <v>121</v>
      </c>
    </row>
    <row r="4" spans="1:9" ht="41.45" customHeight="1" x14ac:dyDescent="0.2">
      <c r="B4" s="490"/>
      <c r="C4" s="491"/>
      <c r="D4" s="490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00000000000001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00000000000001" customHeight="1" x14ac:dyDescent="0.2">
      <c r="B7" s="474" t="s">
        <v>9</v>
      </c>
      <c r="C7" s="483"/>
      <c r="D7" s="483"/>
      <c r="E7" s="474"/>
      <c r="F7" s="471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6"/>
      <c r="I1" s="496"/>
      <c r="J1" s="496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44778</v>
      </c>
      <c r="V4" s="379"/>
    </row>
    <row r="5" spans="1:33" s="10" customFormat="1" ht="15" customHeight="1" thickTop="1" x14ac:dyDescent="0.2">
      <c r="A5" s="91"/>
      <c r="B5" s="419"/>
      <c r="C5" s="497" t="s">
        <v>59</v>
      </c>
      <c r="D5" s="500" t="s">
        <v>0</v>
      </c>
      <c r="E5" s="497" t="s">
        <v>15</v>
      </c>
      <c r="F5" s="503" t="s">
        <v>16</v>
      </c>
      <c r="G5" s="497" t="s">
        <v>220</v>
      </c>
      <c r="H5" s="494" t="s">
        <v>347</v>
      </c>
      <c r="I5" s="494" t="s">
        <v>65</v>
      </c>
      <c r="J5" s="494" t="s">
        <v>345</v>
      </c>
      <c r="K5" s="494" t="s">
        <v>84</v>
      </c>
      <c r="L5" s="494" t="s">
        <v>346</v>
      </c>
      <c r="M5" s="494" t="s">
        <v>309</v>
      </c>
      <c r="N5" s="494" t="s">
        <v>301</v>
      </c>
      <c r="O5" s="494" t="s">
        <v>17</v>
      </c>
      <c r="P5" s="494" t="s">
        <v>18</v>
      </c>
      <c r="Q5" s="380"/>
      <c r="R5" s="494" t="s">
        <v>19</v>
      </c>
      <c r="S5" s="494" t="s">
        <v>20</v>
      </c>
      <c r="T5" s="494" t="s">
        <v>61</v>
      </c>
      <c r="U5" s="492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8"/>
      <c r="D6" s="501"/>
      <c r="E6" s="498"/>
      <c r="F6" s="504"/>
      <c r="G6" s="498"/>
      <c r="H6" s="495"/>
      <c r="I6" s="495"/>
      <c r="J6" s="495"/>
      <c r="K6" s="495"/>
      <c r="L6" s="495"/>
      <c r="M6" s="495"/>
      <c r="N6" s="495"/>
      <c r="O6" s="495"/>
      <c r="P6" s="495"/>
      <c r="Q6" s="380"/>
      <c r="R6" s="495"/>
      <c r="S6" s="495"/>
      <c r="T6" s="495"/>
      <c r="U6" s="493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8"/>
      <c r="D7" s="501"/>
      <c r="E7" s="498"/>
      <c r="F7" s="504"/>
      <c r="G7" s="498"/>
      <c r="H7" s="495"/>
      <c r="I7" s="495"/>
      <c r="J7" s="495"/>
      <c r="K7" s="495"/>
      <c r="L7" s="495"/>
      <c r="M7" s="495"/>
      <c r="N7" s="495"/>
      <c r="O7" s="495"/>
      <c r="P7" s="495"/>
      <c r="Q7" s="380"/>
      <c r="R7" s="495"/>
      <c r="S7" s="495"/>
      <c r="T7" s="495"/>
      <c r="U7" s="493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9"/>
      <c r="D8" s="502"/>
      <c r="E8" s="499"/>
      <c r="F8" s="505"/>
      <c r="G8" s="499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1617146.9700000002</v>
      </c>
      <c r="P9" s="26">
        <f t="shared" si="0"/>
        <v>248268.03</v>
      </c>
      <c r="Q9" s="35">
        <f>SUM(Q11:Q12)</f>
        <v>0</v>
      </c>
      <c r="R9" s="26">
        <f t="shared" si="0"/>
        <v>1614527.81</v>
      </c>
      <c r="S9" s="26">
        <f t="shared" si="0"/>
        <v>1614527.81</v>
      </c>
      <c r="T9" s="26">
        <f t="shared" si="0"/>
        <v>1614527.81</v>
      </c>
      <c r="U9" s="156">
        <f>+IFERROR((R9/N9),0%)</f>
        <v>0.86550596516056755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1358163.09</v>
      </c>
      <c r="P11" s="31">
        <f t="shared" si="1"/>
        <v>206433.91</v>
      </c>
      <c r="Q11" s="23">
        <f t="shared" ref="Q11:T12" si="2">Q16+Q21+Q26</f>
        <v>0</v>
      </c>
      <c r="R11" s="31">
        <f t="shared" si="2"/>
        <v>1355543.93</v>
      </c>
      <c r="S11" s="31">
        <f t="shared" si="2"/>
        <v>1355543.93</v>
      </c>
      <c r="T11" s="31">
        <f t="shared" si="2"/>
        <v>1355543.93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258983.88</v>
      </c>
      <c r="P12" s="31">
        <f>P17+P22+P27</f>
        <v>41834.119999999995</v>
      </c>
      <c r="Q12" s="23">
        <f t="shared" si="2"/>
        <v>0</v>
      </c>
      <c r="R12" s="31">
        <f t="shared" si="2"/>
        <v>258983.88</v>
      </c>
      <c r="S12" s="31">
        <f t="shared" si="2"/>
        <v>258983.88</v>
      </c>
      <c r="T12" s="31">
        <f t="shared" si="2"/>
        <v>258983.88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1523580.88</v>
      </c>
      <c r="P20" s="228">
        <f t="shared" si="5"/>
        <v>31834.119999999995</v>
      </c>
      <c r="Q20" s="21">
        <f t="shared" si="5"/>
        <v>0</v>
      </c>
      <c r="R20" s="21">
        <f t="shared" si="5"/>
        <v>1523580.88</v>
      </c>
      <c r="S20" s="21">
        <f t="shared" si="5"/>
        <v>1523580.88</v>
      </c>
      <c r="T20" s="21">
        <f t="shared" si="5"/>
        <v>1523580.88</v>
      </c>
      <c r="U20" s="154">
        <f>+IFERROR((R20/N20),0%)</f>
        <v>0.97953335926424778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1264597</v>
      </c>
      <c r="P21" s="231">
        <f>+N21-O21</f>
        <v>0</v>
      </c>
      <c r="Q21" s="32"/>
      <c r="R21" s="231">
        <f>IFERROR(VLOOKUP(G21,'Base Execução'!$A:$K,7,FALSE),0)</f>
        <v>1264597</v>
      </c>
      <c r="S21" s="231">
        <f>IFERROR(VLOOKUP(G21,'Base Execução'!$A:$K,9,FALSE),0)</f>
        <v>1264597</v>
      </c>
      <c r="T21" s="32">
        <f>IFERROR(VLOOKUP(G21,'Base Execução'!$A:$K,11,FALSE),0)</f>
        <v>1264597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258983.88</v>
      </c>
      <c r="P22" s="231">
        <f>+N22-O22</f>
        <v>31834.119999999995</v>
      </c>
      <c r="Q22" s="32"/>
      <c r="R22" s="231">
        <f>IFERROR(VLOOKUP(G22,'Base Execução'!$A:$K,7,FALSE),0)</f>
        <v>258983.88</v>
      </c>
      <c r="S22" s="231">
        <f>IFERROR(VLOOKUP(G22,'Base Execução'!$A:$K,9,FALSE),0)</f>
        <v>258983.88</v>
      </c>
      <c r="T22" s="32">
        <f>IFERROR(VLOOKUP(G22,'Base Execução'!$A:$K,11,FALSE),0)</f>
        <v>258983.88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93566.09</v>
      </c>
      <c r="P25" s="228">
        <f t="shared" si="6"/>
        <v>216433.91</v>
      </c>
      <c r="Q25" s="21">
        <f t="shared" si="6"/>
        <v>0</v>
      </c>
      <c r="R25" s="21">
        <f t="shared" si="6"/>
        <v>90946.93</v>
      </c>
      <c r="S25" s="21">
        <f t="shared" si="6"/>
        <v>90946.93</v>
      </c>
      <c r="T25" s="21">
        <f t="shared" si="6"/>
        <v>90946.93</v>
      </c>
      <c r="U25" s="154">
        <f>+IFERROR((R25/N25),0%)</f>
        <v>0.29337719354838709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93566.09</v>
      </c>
      <c r="P26" s="231">
        <f>+N26-O26</f>
        <v>206433.91</v>
      </c>
      <c r="Q26" s="32"/>
      <c r="R26" s="231">
        <f>IFERROR(VLOOKUP(G26,'Base Execução'!$A:$K,7,FALSE),0)</f>
        <v>90946.93</v>
      </c>
      <c r="S26" s="231">
        <f>IFERROR(VLOOKUP(G26,'Base Execução'!$A:$K,9,FALSE),0)</f>
        <v>90946.93</v>
      </c>
      <c r="T26" s="32">
        <f>IFERROR(VLOOKUP(G26,'Base Execução'!$A:$K,11,FALSE),0)</f>
        <v>90946.93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197886.65</v>
      </c>
      <c r="P29" s="26">
        <f t="shared" si="7"/>
        <v>154981.35</v>
      </c>
      <c r="Q29" s="22">
        <f t="shared" si="7"/>
        <v>0</v>
      </c>
      <c r="R29" s="26">
        <f t="shared" si="7"/>
        <v>197886.65</v>
      </c>
      <c r="S29" s="26">
        <f t="shared" si="7"/>
        <v>187278.5</v>
      </c>
      <c r="T29" s="26">
        <f t="shared" si="7"/>
        <v>187278.5</v>
      </c>
      <c r="U29" s="156">
        <f>+IFERROR((R29/N29),0%)</f>
        <v>0.56079511318680075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197886.65</v>
      </c>
      <c r="P31" s="32">
        <f t="shared" si="8"/>
        <v>154981.35</v>
      </c>
      <c r="Q31" s="32">
        <f t="shared" si="8"/>
        <v>0</v>
      </c>
      <c r="R31" s="32">
        <f t="shared" si="8"/>
        <v>197886.65</v>
      </c>
      <c r="S31" s="32">
        <f t="shared" si="8"/>
        <v>187278.5</v>
      </c>
      <c r="T31" s="32">
        <f t="shared" si="8"/>
        <v>187278.5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197886.65</v>
      </c>
      <c r="P34" s="228">
        <f t="shared" si="9"/>
        <v>154981.35</v>
      </c>
      <c r="Q34" s="21">
        <f t="shared" si="9"/>
        <v>0</v>
      </c>
      <c r="R34" s="21">
        <f t="shared" si="9"/>
        <v>197886.65</v>
      </c>
      <c r="S34" s="21">
        <f t="shared" si="9"/>
        <v>187278.5</v>
      </c>
      <c r="T34" s="21">
        <f t="shared" si="9"/>
        <v>187278.5</v>
      </c>
      <c r="U34" s="154">
        <f>+IFERROR((R34/N34),0%)</f>
        <v>0.56079511318680075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197886.65</v>
      </c>
      <c r="P35" s="231">
        <f>+N35-O35</f>
        <v>154981.35</v>
      </c>
      <c r="Q35" s="32"/>
      <c r="R35" s="231">
        <f>IFERROR(VLOOKUP(G35,'Base Execução'!$A:$K,7,FALSE),0)</f>
        <v>197886.65</v>
      </c>
      <c r="S35" s="231">
        <f>IFERROR(VLOOKUP(G35,'Base Execução'!$A:$K,9,FALSE),0)</f>
        <v>187278.5</v>
      </c>
      <c r="T35" s="32">
        <f>IFERROR(VLOOKUP(G35,'Base Execução'!$A:$K,11,FALSE),0)</f>
        <v>187278.5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34758118.769999996</v>
      </c>
      <c r="P65" s="26">
        <f t="shared" si="20"/>
        <v>241881.23000000056</v>
      </c>
      <c r="Q65" s="35">
        <f>SUM(Q69:Q72)</f>
        <v>0</v>
      </c>
      <c r="R65" s="26">
        <f t="shared" si="20"/>
        <v>33929813.149999999</v>
      </c>
      <c r="S65" s="26">
        <f t="shared" si="20"/>
        <v>13944705.67</v>
      </c>
      <c r="T65" s="26">
        <f t="shared" si="20"/>
        <v>12032564.640000001</v>
      </c>
      <c r="U65" s="156">
        <f>+IFERROR((R65/N65),0%)</f>
        <v>0.96942323285714282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29013692.359999999</v>
      </c>
      <c r="P69" s="231">
        <f t="shared" si="24"/>
        <v>236307.6400000006</v>
      </c>
      <c r="Q69" s="32">
        <f t="shared" si="24"/>
        <v>0</v>
      </c>
      <c r="R69" s="32">
        <f t="shared" si="24"/>
        <v>28235548.260000002</v>
      </c>
      <c r="S69" s="32">
        <f t="shared" si="24"/>
        <v>13852167.779999999</v>
      </c>
      <c r="T69" s="32">
        <f t="shared" si="24"/>
        <v>11940026.75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794426.41</v>
      </c>
      <c r="P70" s="231">
        <f t="shared" si="25"/>
        <v>5573.5899999999674</v>
      </c>
      <c r="Q70" s="32">
        <f t="shared" si="25"/>
        <v>0</v>
      </c>
      <c r="R70" s="32">
        <f t="shared" si="25"/>
        <v>744264.89</v>
      </c>
      <c r="S70" s="32">
        <f t="shared" si="25"/>
        <v>92537.89</v>
      </c>
      <c r="T70" s="32">
        <f t="shared" si="25"/>
        <v>92537.89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34758118.769999996</v>
      </c>
      <c r="P75" s="228">
        <f t="shared" si="28"/>
        <v>241881.23000000056</v>
      </c>
      <c r="Q75" s="21">
        <f>SUM(Q78:Q81)</f>
        <v>0</v>
      </c>
      <c r="R75" s="21">
        <f>SUM(R76:R81)</f>
        <v>33929813.149999999</v>
      </c>
      <c r="S75" s="21">
        <f>SUM(S76:S81)</f>
        <v>13944705.67</v>
      </c>
      <c r="T75" s="21">
        <f>SUM(T76:T81)</f>
        <v>12032564.640000001</v>
      </c>
      <c r="U75" s="154">
        <f>+IFERROR((R75/N75),0%)</f>
        <v>0.96942323285714282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29013692.359999999</v>
      </c>
      <c r="P78" s="231">
        <f t="shared" si="33"/>
        <v>236307.6400000006</v>
      </c>
      <c r="Q78" s="320"/>
      <c r="R78" s="231">
        <f>IFERROR(VLOOKUP(G78,'Base Execução'!$A:$K,7,FALSE),0)</f>
        <v>28235548.260000002</v>
      </c>
      <c r="S78" s="231">
        <f>IFERROR(VLOOKUP(G78,'Base Execução'!$A:$K,9,FALSE),0)</f>
        <v>13852167.779999999</v>
      </c>
      <c r="T78" s="32">
        <f>IFERROR(VLOOKUP(G78,'Base Execução'!$A:$K,11,FALSE),0)</f>
        <v>11940026.75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794426.41</v>
      </c>
      <c r="P79" s="231">
        <f t="shared" si="33"/>
        <v>5573.5899999999674</v>
      </c>
      <c r="Q79" s="320"/>
      <c r="R79" s="231">
        <f>IFERROR(VLOOKUP(G79,'Base Execução'!$A:$K,7,FALSE),0)</f>
        <v>744264.89</v>
      </c>
      <c r="S79" s="231">
        <f>IFERROR(VLOOKUP(G79,'Base Execução'!$A:$K,9,FALSE),0)</f>
        <v>92537.89</v>
      </c>
      <c r="T79" s="32">
        <f>IFERROR(VLOOKUP(G79,'Base Execução'!$A:$K,11,FALSE),0)</f>
        <v>92537.89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24314618.080000002</v>
      </c>
      <c r="P83" s="26">
        <f t="shared" si="34"/>
        <v>5100806.5599999987</v>
      </c>
      <c r="Q83" s="22">
        <f>Q85</f>
        <v>0</v>
      </c>
      <c r="R83" s="26">
        <f t="shared" si="34"/>
        <v>24063203.580000002</v>
      </c>
      <c r="S83" s="26">
        <f t="shared" si="34"/>
        <v>13865218.66</v>
      </c>
      <c r="T83" s="26">
        <f t="shared" si="34"/>
        <v>11993033.68</v>
      </c>
      <c r="U83" s="156">
        <f>+IFERROR((R83/N83),0%)</f>
        <v>0.90500232219156518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2826317.6399999997</v>
      </c>
      <c r="P85" s="32">
        <f t="shared" si="35"/>
        <v>0</v>
      </c>
      <c r="Q85" s="32">
        <f t="shared" si="35"/>
        <v>0</v>
      </c>
      <c r="R85" s="32">
        <f t="shared" si="35"/>
        <v>2826317.6399999997</v>
      </c>
      <c r="S85" s="32">
        <f t="shared" si="35"/>
        <v>2824744.1999999997</v>
      </c>
      <c r="T85" s="32">
        <f t="shared" si="35"/>
        <v>2824744.1999999997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21488300.440000001</v>
      </c>
      <c r="P86" s="32">
        <f t="shared" si="36"/>
        <v>5100806.5599999987</v>
      </c>
      <c r="Q86" s="32"/>
      <c r="R86" s="32">
        <f t="shared" si="36"/>
        <v>21236885.940000001</v>
      </c>
      <c r="S86" s="32">
        <f t="shared" si="36"/>
        <v>11040474.460000001</v>
      </c>
      <c r="T86" s="32">
        <f t="shared" si="36"/>
        <v>9168289.4800000004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23798747.25</v>
      </c>
      <c r="P89" s="21">
        <f t="shared" si="37"/>
        <v>4571111.129999999</v>
      </c>
      <c r="Q89" s="21">
        <f>Q90</f>
        <v>0</v>
      </c>
      <c r="R89" s="21">
        <f>SUM(R90:R91)</f>
        <v>23630409.649999999</v>
      </c>
      <c r="S89" s="21">
        <f>SUM(S90:S91)</f>
        <v>13538616.789999999</v>
      </c>
      <c r="T89" s="21">
        <f>SUM(T90:T91)</f>
        <v>11689686.780000001</v>
      </c>
      <c r="U89" s="154">
        <f>+IFERROR((R89/N89),0%)</f>
        <v>0.92338245384926187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2778718.38</v>
      </c>
      <c r="P90" s="231">
        <v>0</v>
      </c>
      <c r="Q90" s="32"/>
      <c r="R90" s="231">
        <f>IFERROR(VLOOKUP(G90,'Base Execução'!$A:$K,7,FALSE),0)</f>
        <v>2778718.38</v>
      </c>
      <c r="S90" s="231">
        <f>IFERROR(VLOOKUP(G90,'Base Execução'!$A:$K,9,FALSE),0)</f>
        <v>2778718.38</v>
      </c>
      <c r="T90" s="32">
        <f>IFERROR(VLOOKUP(G90,'Base Execução'!$A:$K,11,FALSE),0)</f>
        <v>2778718.38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21020028.870000001</v>
      </c>
      <c r="P91" s="231">
        <f>+N91-O91</f>
        <v>4571111.129999999</v>
      </c>
      <c r="Q91" s="32"/>
      <c r="R91" s="231">
        <f>IFERROR(VLOOKUP(G91,'Base Execução'!$A:$K,7,FALSE),0)</f>
        <v>20851691.27</v>
      </c>
      <c r="S91" s="231">
        <f>IFERROR(VLOOKUP(G91,'Base Execução'!$A:$K,9,FALSE),0)</f>
        <v>10759898.41</v>
      </c>
      <c r="T91" s="32">
        <f>IFERROR(VLOOKUP(G91,'Base Execução'!$A:$K,11,FALSE),0)</f>
        <v>8910968.4000000004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515870.83</v>
      </c>
      <c r="P93" s="21">
        <f t="shared" si="38"/>
        <v>529695.42999999993</v>
      </c>
      <c r="Q93" s="21">
        <f t="shared" ref="Q93" si="39">Q94</f>
        <v>0</v>
      </c>
      <c r="R93" s="21">
        <f t="shared" ref="R93" si="40">SUM(R94:R95)</f>
        <v>432793.93</v>
      </c>
      <c r="S93" s="21">
        <f t="shared" ref="S93" si="41">SUM(S94:S95)</f>
        <v>326601.87</v>
      </c>
      <c r="T93" s="21">
        <f t="shared" ref="T93" si="42">SUM(T94:T95)</f>
        <v>303346.89999999997</v>
      </c>
      <c r="U93" s="154">
        <f>+IFERROR((R93/N93),0%)</f>
        <v>0.43367559247951082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47599.26</v>
      </c>
      <c r="P94" s="231">
        <v>0</v>
      </c>
      <c r="Q94" s="31"/>
      <c r="R94" s="231">
        <f>IFERROR(VLOOKUP(G94,'Base Execução'!$A:$K,7,FALSE),0)</f>
        <v>47599.26</v>
      </c>
      <c r="S94" s="231">
        <f>IFERROR(VLOOKUP(G94,'Base Execução'!$A:$K,9,FALSE),0)</f>
        <v>46025.82</v>
      </c>
      <c r="T94" s="32">
        <f>IFERROR(VLOOKUP(G94,'Base Execução'!$A:$K,11,FALSE),0)</f>
        <v>46025.82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468271.57</v>
      </c>
      <c r="P95" s="231">
        <f>+N95-O95</f>
        <v>529695.42999999993</v>
      </c>
      <c r="Q95" s="31"/>
      <c r="R95" s="231">
        <f>IFERROR(VLOOKUP(G95,'Base Execução'!$A:$K,7,FALSE),0)</f>
        <v>385194.67</v>
      </c>
      <c r="S95" s="231">
        <f>IFERROR(VLOOKUP(G95,'Base Execução'!$A:$K,9,FALSE),0)</f>
        <v>280576.05</v>
      </c>
      <c r="T95" s="32">
        <f>IFERROR(VLOOKUP(G95,'Base Execução'!$A:$K,11,FALSE),0)</f>
        <v>257321.08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247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9526182.9900000002</v>
      </c>
      <c r="P97" s="26">
        <f>SUM(P99:P101)</f>
        <v>10285234.01</v>
      </c>
      <c r="Q97" s="22">
        <f>Q99</f>
        <v>0</v>
      </c>
      <c r="R97" s="26">
        <f t="shared" si="43"/>
        <v>9507419.5099999998</v>
      </c>
      <c r="S97" s="26">
        <f t="shared" si="43"/>
        <v>9467629.4600000009</v>
      </c>
      <c r="T97" s="26">
        <f t="shared" si="43"/>
        <v>9467409.120000001</v>
      </c>
      <c r="U97" s="156">
        <f>+IFERROR((R97/N97),0%)</f>
        <v>0.47989598674340156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316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9526182.9900000002</v>
      </c>
      <c r="P99" s="32">
        <f>P105+P112+P119+P122</f>
        <v>10285234.01</v>
      </c>
      <c r="Q99" s="32">
        <f>Q105+Q112+Q119</f>
        <v>0</v>
      </c>
      <c r="R99" s="32">
        <f t="shared" si="44"/>
        <v>9507419.5099999998</v>
      </c>
      <c r="S99" s="32">
        <f t="shared" si="44"/>
        <v>9467629.4600000009</v>
      </c>
      <c r="T99" s="32">
        <f t="shared" si="44"/>
        <v>9467409.120000001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249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780411.41</v>
      </c>
      <c r="P103" s="21">
        <f t="shared" si="47"/>
        <v>1169090.5899999999</v>
      </c>
      <c r="Q103" s="31"/>
      <c r="R103" s="21">
        <f>R104+R107</f>
        <v>763292.49</v>
      </c>
      <c r="S103" s="21">
        <f>S104+S107</f>
        <v>761411.17</v>
      </c>
      <c r="T103" s="21">
        <f>T104+T107</f>
        <v>761411.17</v>
      </c>
      <c r="U103" s="154">
        <f>+IFERROR((R103/N103),0%)</f>
        <v>0.39153203741263154</v>
      </c>
    </row>
    <row r="104" spans="1:33" ht="15" customHeight="1" x14ac:dyDescent="0.2">
      <c r="A104" s="276"/>
      <c r="B104" s="38" t="s">
        <v>252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780411.41</v>
      </c>
      <c r="P104" s="228">
        <f>P105+P106</f>
        <v>1169090.5899999999</v>
      </c>
      <c r="Q104" s="21">
        <f>Q105</f>
        <v>0</v>
      </c>
      <c r="R104" s="21">
        <f>R105+R106</f>
        <v>763292.49</v>
      </c>
      <c r="S104" s="21">
        <f>S105+S106</f>
        <v>761411.17</v>
      </c>
      <c r="T104" s="21">
        <f>T105+T106</f>
        <v>761411.17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780411.41</v>
      </c>
      <c r="P105" s="231">
        <f>+N105-O105</f>
        <v>1169090.5899999999</v>
      </c>
      <c r="Q105" s="33"/>
      <c r="R105" s="231">
        <f>IFERROR(VLOOKUP(G105,'Base Execução'!$A:$K,7,FALSE),0)</f>
        <v>763292.49</v>
      </c>
      <c r="S105" s="231">
        <f>IFERROR(VLOOKUP(G105,'Base Execução'!$A:$K,9,FALSE),0)</f>
        <v>761411.17</v>
      </c>
      <c r="T105" s="32">
        <f>IFERROR(VLOOKUP(G105,'Base Execução'!$A:$K,11,FALSE),0)</f>
        <v>761411.17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304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250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100365.26</v>
      </c>
      <c r="P110" s="21">
        <f t="shared" si="50"/>
        <v>132811.74</v>
      </c>
      <c r="Q110" s="33"/>
      <c r="R110" s="21">
        <f>R111+R114</f>
        <v>98720.7</v>
      </c>
      <c r="S110" s="21">
        <f>S111+S114</f>
        <v>96993.06</v>
      </c>
      <c r="T110" s="21">
        <f>T111+T114</f>
        <v>96772.72</v>
      </c>
      <c r="U110" s="154">
        <f>+IFERROR((R110/N110),0%)</f>
        <v>0.42337237377614428</v>
      </c>
    </row>
    <row r="111" spans="1:33" ht="15" customHeight="1" x14ac:dyDescent="0.2">
      <c r="A111" s="276"/>
      <c r="B111" s="38" t="s">
        <v>253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100365.26</v>
      </c>
      <c r="P111" s="228">
        <f>P112+P113</f>
        <v>132811.74</v>
      </c>
      <c r="Q111" s="21">
        <f t="shared" si="51"/>
        <v>0</v>
      </c>
      <c r="R111" s="21">
        <f>R112+R113</f>
        <v>98720.7</v>
      </c>
      <c r="S111" s="21">
        <f>S112+S113</f>
        <v>96993.06</v>
      </c>
      <c r="T111" s="21">
        <f>T112+T113</f>
        <v>96772.72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100365.26</v>
      </c>
      <c r="P112" s="231">
        <f>+N112-O112</f>
        <v>132811.74</v>
      </c>
      <c r="Q112" s="33"/>
      <c r="R112" s="231">
        <f>IFERROR(VLOOKUP(G112,'Base Execução'!$A:$K,7,FALSE),0)</f>
        <v>98720.7</v>
      </c>
      <c r="S112" s="231">
        <f>IFERROR(VLOOKUP(G112,'Base Execução'!$A:$K,9,FALSE),0)</f>
        <v>96993.06</v>
      </c>
      <c r="T112" s="32">
        <f>IFERROR(VLOOKUP(G112,'Base Execução'!$A:$K,11,FALSE),0)</f>
        <v>96772.72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305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251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8645406.3200000003</v>
      </c>
      <c r="P117" s="21">
        <f t="shared" si="53"/>
        <v>8983331.6799999997</v>
      </c>
      <c r="Q117" s="33"/>
      <c r="R117" s="21">
        <f>R118+R121</f>
        <v>8645406.3200000003</v>
      </c>
      <c r="S117" s="21">
        <f>S118+S121</f>
        <v>8609225.2300000004</v>
      </c>
      <c r="T117" s="21">
        <f>T118+T121</f>
        <v>8609225.2300000004</v>
      </c>
      <c r="U117" s="154">
        <f>+IFERROR((R117/N117),0%)</f>
        <v>0.49041549769473008</v>
      </c>
    </row>
    <row r="118" spans="1:33" ht="15" customHeight="1" x14ac:dyDescent="0.2">
      <c r="A118" s="276"/>
      <c r="B118" s="38" t="s">
        <v>254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8645406.3200000003</v>
      </c>
      <c r="P118" s="228">
        <f>P119+P120</f>
        <v>8983331.6799999997</v>
      </c>
      <c r="Q118" s="21">
        <f t="shared" si="54"/>
        <v>0</v>
      </c>
      <c r="R118" s="21">
        <f>R119+R120</f>
        <v>8645406.3200000003</v>
      </c>
      <c r="S118" s="21">
        <f>S119+S120</f>
        <v>8609225.2300000004</v>
      </c>
      <c r="T118" s="21">
        <f>T119+T120</f>
        <v>8609225.2300000004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8645406.3200000003</v>
      </c>
      <c r="P119" s="231">
        <f>+N119-O119</f>
        <v>8983331.6799999997</v>
      </c>
      <c r="Q119" s="33"/>
      <c r="R119" s="231">
        <f>IFERROR(VLOOKUP(G119,'Base Execução'!$A:$K,7,FALSE),0)</f>
        <v>8645406.3200000003</v>
      </c>
      <c r="S119" s="231">
        <f>IFERROR(VLOOKUP(G119,'Base Execução'!$A:$K,9,FALSE),0)</f>
        <v>8609225.2300000004</v>
      </c>
      <c r="T119" s="32">
        <f>IFERROR(VLOOKUP(G119,'Base Execução'!$A:$K,11,FALSE),0)</f>
        <v>8609225.2300000004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303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255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214941992.47999999</v>
      </c>
      <c r="P125" s="26">
        <f t="shared" si="56"/>
        <v>128721510.52000001</v>
      </c>
      <c r="Q125" s="22">
        <f>Q127</f>
        <v>0</v>
      </c>
      <c r="R125" s="26">
        <f t="shared" si="56"/>
        <v>210896465.56999999</v>
      </c>
      <c r="S125" s="26">
        <f t="shared" si="56"/>
        <v>199998509.93000001</v>
      </c>
      <c r="T125" s="26">
        <f t="shared" si="56"/>
        <v>196084502.37</v>
      </c>
      <c r="U125" s="156">
        <f>+IFERROR((R125/N125),0%)</f>
        <v>0.61367140743484772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317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214941992.47999999</v>
      </c>
      <c r="P127" s="32">
        <f t="shared" si="57"/>
        <v>128721510.52000001</v>
      </c>
      <c r="Q127" s="32">
        <f>Q133</f>
        <v>0</v>
      </c>
      <c r="R127" s="32">
        <f>R133+R136</f>
        <v>210896465.56999999</v>
      </c>
      <c r="S127" s="32">
        <f>S133+S136</f>
        <v>199998509.93000001</v>
      </c>
      <c r="T127" s="32">
        <f>T133+T136</f>
        <v>196084502.37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256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214941992.47999999</v>
      </c>
      <c r="P131" s="21">
        <f t="shared" si="60"/>
        <v>128721510.52000001</v>
      </c>
      <c r="Q131" s="21">
        <f t="shared" si="60"/>
        <v>0</v>
      </c>
      <c r="R131" s="21">
        <f>R132+R135</f>
        <v>210896465.56999999</v>
      </c>
      <c r="S131" s="21">
        <f>S132+S135</f>
        <v>199998509.93000001</v>
      </c>
      <c r="T131" s="21">
        <f>T132+T135</f>
        <v>196084502.37</v>
      </c>
      <c r="U131" s="155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214941992.47999999</v>
      </c>
      <c r="P132" s="21">
        <f t="shared" si="61"/>
        <v>128721510.52000001</v>
      </c>
      <c r="Q132" s="21">
        <f>Q133</f>
        <v>0</v>
      </c>
      <c r="R132" s="21">
        <f>R133+R134</f>
        <v>210896465.56999999</v>
      </c>
      <c r="S132" s="21">
        <f>S133+S134</f>
        <v>199998509.93000001</v>
      </c>
      <c r="T132" s="21">
        <f>T133+T134</f>
        <v>196084502.37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214941992.47999999</v>
      </c>
      <c r="P133" s="231">
        <f>+N133-O133</f>
        <v>128721510.52000001</v>
      </c>
      <c r="Q133" s="32"/>
      <c r="R133" s="231">
        <f>IFERROR(VLOOKUP(G133,'Base Execução'!$A:$K,7,FALSE),0)</f>
        <v>210896465.56999999</v>
      </c>
      <c r="S133" s="231">
        <f>IFERROR(VLOOKUP(G133,'Base Execução'!$A:$K,9,FALSE),0)</f>
        <v>199998509.93000001</v>
      </c>
      <c r="T133" s="32">
        <f>IFERROR(VLOOKUP(G133,'Base Execução'!$A:$K,11,FALSE),0)</f>
        <v>196084502.37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302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257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1211067.97</v>
      </c>
      <c r="P139" s="26">
        <f t="shared" si="63"/>
        <v>68100.030000000028</v>
      </c>
      <c r="Q139" s="22">
        <f t="shared" si="63"/>
        <v>0</v>
      </c>
      <c r="R139" s="26">
        <f t="shared" si="63"/>
        <v>910944.88</v>
      </c>
      <c r="S139" s="26">
        <f t="shared" si="63"/>
        <v>661490.82999999996</v>
      </c>
      <c r="T139" s="26">
        <f t="shared" si="63"/>
        <v>514351.09</v>
      </c>
      <c r="U139" s="156">
        <f>+IFERROR((R139/N139),0%)</f>
        <v>0.71213857757542398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318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1066067.97</v>
      </c>
      <c r="P141" s="32">
        <f t="shared" si="64"/>
        <v>68100.030000000028</v>
      </c>
      <c r="Q141" s="32">
        <f t="shared" si="64"/>
        <v>0</v>
      </c>
      <c r="R141" s="32">
        <f t="shared" si="64"/>
        <v>765944.88</v>
      </c>
      <c r="S141" s="32">
        <f t="shared" si="64"/>
        <v>661490.82999999996</v>
      </c>
      <c r="T141" s="32">
        <f t="shared" si="64"/>
        <v>514351.09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258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1211067.97</v>
      </c>
      <c r="P145" s="228">
        <f t="shared" si="66"/>
        <v>68100.030000000028</v>
      </c>
      <c r="Q145" s="21">
        <f t="shared" si="66"/>
        <v>0</v>
      </c>
      <c r="R145" s="21">
        <f t="shared" si="66"/>
        <v>910944.88</v>
      </c>
      <c r="S145" s="21">
        <f t="shared" si="66"/>
        <v>661490.82999999996</v>
      </c>
      <c r="T145" s="21">
        <f t="shared" si="66"/>
        <v>514351.09</v>
      </c>
      <c r="U145" s="154">
        <f>+IFERROR((R145/N145),0%)</f>
        <v>0.71213857757542398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1066067.97</v>
      </c>
      <c r="P146" s="231">
        <f>+N146-O146</f>
        <v>68100.030000000028</v>
      </c>
      <c r="Q146" s="32"/>
      <c r="R146" s="231">
        <f>IFERROR(VLOOKUP(G146,'Base Execução'!$A:$K,7,FALSE),0)</f>
        <v>765944.88</v>
      </c>
      <c r="S146" s="231">
        <f>IFERROR(VLOOKUP(G146,'Base Execução'!$A:$K,9,FALSE),0)</f>
        <v>661490.82999999996</v>
      </c>
      <c r="T146" s="32">
        <f>IFERROR(VLOOKUP(G146,'Base Execução'!$A:$K,11,FALSE),0)</f>
        <v>514351.09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233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16401544.33</v>
      </c>
      <c r="P149" s="230">
        <f t="shared" si="67"/>
        <v>179666.67000000048</v>
      </c>
      <c r="Q149" s="35"/>
      <c r="R149" s="230">
        <f>+R151+R152</f>
        <v>16276989.859999999</v>
      </c>
      <c r="S149" s="230">
        <f>+S151+S152</f>
        <v>814909.07</v>
      </c>
      <c r="T149" s="26">
        <f>+T151+T152</f>
        <v>706244.23</v>
      </c>
      <c r="U149" s="156">
        <f>+IFERROR((R149/N149),0%)</f>
        <v>0.98165265854225003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319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16120334.27</v>
      </c>
      <c r="P151" s="32">
        <f t="shared" si="68"/>
        <v>179665.73000000048</v>
      </c>
      <c r="Q151" s="32">
        <f t="shared" si="68"/>
        <v>0</v>
      </c>
      <c r="R151" s="32">
        <f t="shared" si="68"/>
        <v>15996040.859999999</v>
      </c>
      <c r="S151" s="32">
        <f t="shared" si="68"/>
        <v>795917.07</v>
      </c>
      <c r="T151" s="32">
        <f t="shared" si="68"/>
        <v>706244.23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18992</v>
      </c>
      <c r="T152" s="32">
        <f t="shared" si="69"/>
        <v>0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234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742970.15</v>
      </c>
      <c r="P155" s="228">
        <f t="shared" si="70"/>
        <v>38240.849999999977</v>
      </c>
      <c r="Q155" s="21">
        <f t="shared" si="70"/>
        <v>0</v>
      </c>
      <c r="R155" s="21">
        <f t="shared" si="70"/>
        <v>717955.65</v>
      </c>
      <c r="S155" s="21">
        <f t="shared" si="70"/>
        <v>211213.02</v>
      </c>
      <c r="T155" s="21">
        <f t="shared" si="70"/>
        <v>127035.4</v>
      </c>
      <c r="U155" s="154">
        <f>+IFERROR((R155/N155),0%)</f>
        <v>0.91902910993316789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461760.09</v>
      </c>
      <c r="P156" s="231">
        <f>+N156-O156</f>
        <v>38239.909999999974</v>
      </c>
      <c r="Q156" s="33"/>
      <c r="R156" s="231">
        <f>IFERROR(VLOOKUP(G156,'Base Execução'!$A:$K,7,FALSE),0)</f>
        <v>437006.65</v>
      </c>
      <c r="S156" s="231">
        <f>IFERROR(VLOOKUP(G156,'Base Execução'!$A:$K,9,FALSE),0)</f>
        <v>192221.02</v>
      </c>
      <c r="T156" s="32">
        <f>IFERROR(VLOOKUP(G156,'Base Execução'!$A:$K,11,FALSE),0)</f>
        <v>127035.4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18992</v>
      </c>
      <c r="T157" s="32">
        <f>IFERROR(VLOOKUP(G157,'Base Execução'!$A:$K,11,FALSE),0)</f>
        <v>0</v>
      </c>
      <c r="U157" s="298"/>
      <c r="V157" s="366"/>
    </row>
    <row r="158" spans="1:33" ht="15" customHeight="1" x14ac:dyDescent="0.2">
      <c r="A158" s="276"/>
      <c r="B158" s="424" t="s">
        <v>235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0</v>
      </c>
      <c r="T159" s="21">
        <f t="shared" si="71"/>
        <v>0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0</v>
      </c>
      <c r="T160" s="32">
        <f>IFERROR(VLOOKUP(G160,'Base Execução'!$A:$K,11,FALSE),0)</f>
        <v>0</v>
      </c>
      <c r="U160" s="155"/>
      <c r="V160" s="366"/>
    </row>
    <row r="161" spans="1:22" ht="15" customHeight="1" x14ac:dyDescent="0.2">
      <c r="A161" s="276"/>
      <c r="B161" s="424" t="s">
        <v>236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237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238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14899999.689999999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14899999.689999999</v>
      </c>
      <c r="S168" s="21">
        <f t="shared" si="74"/>
        <v>460159.26</v>
      </c>
      <c r="T168" s="21">
        <f t="shared" si="74"/>
        <v>450593.13</v>
      </c>
      <c r="U168" s="154">
        <f>+IFERROR((R168/N168),0%)</f>
        <v>0.99999997919463079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14899999.689999999</v>
      </c>
      <c r="P169" s="231">
        <f>+N169-O169</f>
        <v>0.31000000052154064</v>
      </c>
      <c r="Q169" s="33"/>
      <c r="R169" s="231">
        <f>IFERROR(VLOOKUP(G169,'Base Execução'!$A:$K,7,FALSE),0)</f>
        <v>14899999.689999999</v>
      </c>
      <c r="S169" s="231">
        <f>IFERROR(VLOOKUP(G169,'Base Execução'!$A:$K,9,FALSE),0)</f>
        <v>460159.26</v>
      </c>
      <c r="T169" s="32">
        <f>IFERROR(VLOOKUP(G169,'Base Execução'!$A:$K,11,FALSE),0)</f>
        <v>450593.13</v>
      </c>
      <c r="U169" s="280"/>
      <c r="V169" s="366"/>
    </row>
    <row r="170" spans="1:22" ht="15" customHeight="1" x14ac:dyDescent="0.2">
      <c r="A170" s="276"/>
      <c r="B170" s="424" t="s">
        <v>239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240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241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242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265516.02</v>
      </c>
      <c r="P180" s="228">
        <f t="shared" si="78"/>
        <v>134483.97999999998</v>
      </c>
      <c r="Q180" s="21">
        <f t="shared" si="78"/>
        <v>0</v>
      </c>
      <c r="R180" s="21">
        <f t="shared" si="78"/>
        <v>165976.04999999999</v>
      </c>
      <c r="S180" s="21">
        <f t="shared" si="78"/>
        <v>118049.63</v>
      </c>
      <c r="T180" s="21">
        <f t="shared" si="78"/>
        <v>103128.54</v>
      </c>
      <c r="U180" s="154">
        <f>+IFERROR((R180/N180),0%)</f>
        <v>0.41494012499999999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265516.02</v>
      </c>
      <c r="P181" s="231">
        <f>+N181-O181</f>
        <v>134483.97999999998</v>
      </c>
      <c r="Q181" s="35"/>
      <c r="R181" s="231">
        <f>IFERROR(VLOOKUP(G181,'Base Execução'!$A:$K,7,FALSE),0)</f>
        <v>165976.04999999999</v>
      </c>
      <c r="S181" s="231">
        <f>IFERROR(VLOOKUP(G181,'Base Execução'!$A:$K,9,FALSE),0)</f>
        <v>118049.63</v>
      </c>
      <c r="T181" s="32">
        <f>IFERROR(VLOOKUP(G181,'Base Execução'!$A:$K,11,FALSE),0)</f>
        <v>103128.54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259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3700616.67</v>
      </c>
      <c r="P183" s="26">
        <f t="shared" si="79"/>
        <v>710308.32999999984</v>
      </c>
      <c r="Q183" s="35">
        <f>SUM(Q185:Q187)</f>
        <v>0</v>
      </c>
      <c r="R183" s="26">
        <f t="shared" si="79"/>
        <v>3464563.8000000003</v>
      </c>
      <c r="S183" s="26">
        <f t="shared" si="79"/>
        <v>1168408.26</v>
      </c>
      <c r="T183" s="26">
        <f t="shared" si="79"/>
        <v>1113848.19</v>
      </c>
      <c r="U183" s="156">
        <f>+IFERROR((R183/N183),0%)</f>
        <v>0.78545062543570798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320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2242593.9</v>
      </c>
      <c r="P185" s="32">
        <f t="shared" si="80"/>
        <v>107406.09999999989</v>
      </c>
      <c r="Q185" s="32">
        <f t="shared" si="80"/>
        <v>0</v>
      </c>
      <c r="R185" s="32">
        <f t="shared" si="80"/>
        <v>2088673.68</v>
      </c>
      <c r="S185" s="32">
        <f t="shared" si="80"/>
        <v>874189.07</v>
      </c>
      <c r="T185" s="32">
        <f t="shared" si="80"/>
        <v>819629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1101210</v>
      </c>
      <c r="P186" s="32">
        <f t="shared" si="81"/>
        <v>159715</v>
      </c>
      <c r="Q186" s="32">
        <f t="shared" ref="Q186" si="82">Q193</f>
        <v>0</v>
      </c>
      <c r="R186" s="32">
        <f t="shared" si="81"/>
        <v>1068895.8900000001</v>
      </c>
      <c r="S186" s="32">
        <f t="shared" si="81"/>
        <v>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356812.77</v>
      </c>
      <c r="P187" s="32">
        <f t="shared" si="83"/>
        <v>443187.23</v>
      </c>
      <c r="Q187" s="32">
        <f t="shared" ref="Q187" si="84">Q194</f>
        <v>0</v>
      </c>
      <c r="R187" s="32">
        <f t="shared" si="83"/>
        <v>306994.23</v>
      </c>
      <c r="S187" s="32">
        <f t="shared" si="83"/>
        <v>294219.19</v>
      </c>
      <c r="T187" s="32">
        <f t="shared" si="83"/>
        <v>294219.19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260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132044.17000000001</v>
      </c>
      <c r="P191" s="21">
        <f t="shared" si="86"/>
        <v>67955.829999999987</v>
      </c>
      <c r="Q191" s="21">
        <f>SUM(Q192:Q194)</f>
        <v>0</v>
      </c>
      <c r="R191" s="21">
        <f>SUM(R192:R195)</f>
        <v>131815.70000000001</v>
      </c>
      <c r="S191" s="21">
        <f>SUM(S192:S195)</f>
        <v>104757.43</v>
      </c>
      <c r="T191" s="21">
        <f>SUM(T192:T195)</f>
        <v>103714.46</v>
      </c>
      <c r="U191" s="154">
        <f>+IFERROR((R191/N191),0%)</f>
        <v>0.65907850000000001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132044.17000000001</v>
      </c>
      <c r="P192" s="231">
        <f>+N192-O192</f>
        <v>67955.829999999987</v>
      </c>
      <c r="Q192" s="296"/>
      <c r="R192" s="231">
        <f>IFERROR(VLOOKUP(G192,'Base Execução'!$A:$K,7,FALSE),0)</f>
        <v>131815.70000000001</v>
      </c>
      <c r="S192" s="231">
        <f>IFERROR(VLOOKUP(G192,'Base Execução'!$A:$K,9,FALSE),0)</f>
        <v>104757.43</v>
      </c>
      <c r="T192" s="32">
        <f>IFERROR(VLOOKUP(G192,'Base Execução'!$A:$K,11,FALSE),0)</f>
        <v>103714.46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261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2168197.31</v>
      </c>
      <c r="P197" s="21">
        <f t="shared" si="87"/>
        <v>87727.689999999944</v>
      </c>
      <c r="Q197" s="21">
        <f t="shared" ref="Q197" si="88">Q198</f>
        <v>0</v>
      </c>
      <c r="R197" s="21">
        <f t="shared" ref="R197" si="89">SUM(R198:R199)</f>
        <v>2060669.9</v>
      </c>
      <c r="S197" s="21">
        <f t="shared" ref="S197" si="90">SUM(S198:S199)</f>
        <v>613430.02</v>
      </c>
      <c r="T197" s="21">
        <f t="shared" ref="T197" si="91">SUM(T198:T199)</f>
        <v>594325.06000000006</v>
      </c>
      <c r="U197" s="154">
        <f>+IFERROR((R197/N197),0%)</f>
        <v>0.91344787614836487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1493393.31</v>
      </c>
      <c r="P198" s="231">
        <f>+N198-O198</f>
        <v>1606.6899999999441</v>
      </c>
      <c r="Q198" s="296"/>
      <c r="R198" s="231">
        <f>IFERROR(VLOOKUP(G198,'Base Execução'!$A:$K,7,FALSE),0)</f>
        <v>1391774.01</v>
      </c>
      <c r="S198" s="231">
        <f>IFERROR(VLOOKUP(G198,'Base Execução'!$A:$K,9,FALSE),0)</f>
        <v>613430.02</v>
      </c>
      <c r="T198" s="32">
        <f>IFERROR(VLOOKUP(G198,'Base Execução'!$A:$K,11,FALSE),0)</f>
        <v>594325.06000000006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674804</v>
      </c>
      <c r="P199" s="231">
        <f>+N199-O199</f>
        <v>86121</v>
      </c>
      <c r="Q199" s="296"/>
      <c r="R199" s="231">
        <f>IFERROR(VLOOKUP(G199,'Base Execução'!$A:$K,7,FALSE),0)</f>
        <v>668895.89</v>
      </c>
      <c r="S199" s="231">
        <f>IFERROR(VLOOKUP(G199,'Base Execução'!$A:$K,9,FALSE),0)</f>
        <v>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262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1043562.42</v>
      </c>
      <c r="P201" s="21">
        <f t="shared" si="92"/>
        <v>111437.57999999996</v>
      </c>
      <c r="Q201" s="21">
        <f t="shared" ref="Q201" si="93">Q202</f>
        <v>0</v>
      </c>
      <c r="R201" s="21">
        <f t="shared" ref="R201" si="94">SUM(R202:R203)</f>
        <v>965083.97</v>
      </c>
      <c r="S201" s="21">
        <f t="shared" ref="S201" si="95">SUM(S202:S203)</f>
        <v>156001.62</v>
      </c>
      <c r="T201" s="21">
        <f t="shared" ref="T201" si="96">SUM(T202:T203)</f>
        <v>121589.48</v>
      </c>
      <c r="U201" s="154">
        <f>+IFERROR((R201/N201),0%)</f>
        <v>0.83557053679653681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617156.42000000004</v>
      </c>
      <c r="P202" s="231">
        <f>+N202-O202</f>
        <v>37843.579999999958</v>
      </c>
      <c r="Q202" s="33"/>
      <c r="R202" s="231">
        <f>IFERROR(VLOOKUP(G202,'Base Execução'!$A:$K,7,FALSE),0)</f>
        <v>565083.97</v>
      </c>
      <c r="S202" s="231">
        <f>IFERROR(VLOOKUP(G202,'Base Execução'!$A:$K,9,FALSE),0)</f>
        <v>156001.62</v>
      </c>
      <c r="T202" s="32">
        <f>IFERROR(VLOOKUP(G202,'Base Execução'!$A:$K,11,FALSE),0)</f>
        <v>121589.48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353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354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356812.77</v>
      </c>
      <c r="P205" s="228">
        <f t="shared" si="97"/>
        <v>443187.23</v>
      </c>
      <c r="Q205" s="21">
        <f t="shared" si="97"/>
        <v>0</v>
      </c>
      <c r="R205" s="21">
        <f t="shared" si="97"/>
        <v>306994.23</v>
      </c>
      <c r="S205" s="21">
        <f t="shared" si="97"/>
        <v>294219.19</v>
      </c>
      <c r="T205" s="32"/>
      <c r="U205" s="154">
        <f>+IFERROR((R205/N205),0%)</f>
        <v>0.38374278749999996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356812.77</v>
      </c>
      <c r="P206" s="231">
        <f>+N206-O206</f>
        <v>443187.23</v>
      </c>
      <c r="Q206" s="33"/>
      <c r="R206" s="231">
        <f>IFERROR(VLOOKUP(G206,'Base Execução'!$A:$K,7,FALSE),0)</f>
        <v>306994.23</v>
      </c>
      <c r="S206" s="231">
        <f>IFERROR(VLOOKUP(G206,'Base Execução'!$A:$K,9,FALSE),0)</f>
        <v>294219.19</v>
      </c>
      <c r="T206" s="32">
        <f>IFERROR(VLOOKUP(G206,'Base Execução'!$A:$K,11,FALSE),0)</f>
        <v>294219.19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263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4370198.1899999995</v>
      </c>
      <c r="P208" s="26">
        <f t="shared" si="98"/>
        <v>29801.810000000143</v>
      </c>
      <c r="Q208" s="22">
        <f>Q210</f>
        <v>0</v>
      </c>
      <c r="R208" s="26">
        <f t="shared" si="98"/>
        <v>4183385.09</v>
      </c>
      <c r="S208" s="26">
        <f t="shared" si="98"/>
        <v>1905182.71</v>
      </c>
      <c r="T208" s="26">
        <f t="shared" si="98"/>
        <v>1508421</v>
      </c>
      <c r="U208" s="156">
        <f>+IFERROR((R208/N208),0%)</f>
        <v>0.95076933863636359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321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3390229.57</v>
      </c>
      <c r="P210" s="31">
        <f t="shared" si="99"/>
        <v>9770.4300000001385</v>
      </c>
      <c r="Q210" s="31">
        <f t="shared" si="99"/>
        <v>0</v>
      </c>
      <c r="R210" s="31">
        <f t="shared" si="99"/>
        <v>3215456.09</v>
      </c>
      <c r="S210" s="31">
        <f t="shared" si="99"/>
        <v>1442203.71</v>
      </c>
      <c r="T210" s="31">
        <f t="shared" si="99"/>
        <v>1246464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979968.62</v>
      </c>
      <c r="P211" s="31">
        <f t="shared" si="100"/>
        <v>20031.380000000005</v>
      </c>
      <c r="Q211" s="31"/>
      <c r="R211" s="31">
        <f t="shared" si="100"/>
        <v>967929</v>
      </c>
      <c r="S211" s="31">
        <f t="shared" si="100"/>
        <v>462979</v>
      </c>
      <c r="T211" s="31">
        <f t="shared" si="100"/>
        <v>261957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265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1979968.62</v>
      </c>
      <c r="P214" s="229">
        <f t="shared" si="101"/>
        <v>20031.380000000005</v>
      </c>
      <c r="Q214" s="22">
        <f>Q215</f>
        <v>0</v>
      </c>
      <c r="R214" s="22">
        <f>R215+R216</f>
        <v>1957652.31</v>
      </c>
      <c r="S214" s="22">
        <f>S215+S216</f>
        <v>788716.01</v>
      </c>
      <c r="T214" s="22">
        <f>T215+T216</f>
        <v>530400.37</v>
      </c>
      <c r="U214" s="154">
        <f>+IFERROR((R214/N214),0%)</f>
        <v>0.97882615500000003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989723.31</v>
      </c>
      <c r="S215" s="231">
        <f>IFERROR(VLOOKUP(G215,'Base Execução'!$A:$K,9,FALSE),0)</f>
        <v>325737.01</v>
      </c>
      <c r="T215" s="32">
        <f>IFERROR(VLOOKUP(G215,'Base Execução'!$A:$K,11,FALSE),0)</f>
        <v>268443.37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979968.62</v>
      </c>
      <c r="P216" s="232">
        <f>+N216-O216</f>
        <v>20031.380000000005</v>
      </c>
      <c r="Q216" s="31"/>
      <c r="R216" s="231">
        <f>IFERROR(VLOOKUP(G216,'Base Execução'!$A:$K,7,FALSE),0)</f>
        <v>967929</v>
      </c>
      <c r="S216" s="231">
        <f>IFERROR(VLOOKUP(G216,'Base Execução'!$A:$K,9,FALSE),0)</f>
        <v>462979</v>
      </c>
      <c r="T216" s="32">
        <f>IFERROR(VLOOKUP(G216,'Base Execução'!$A:$K,11,FALSE),0)</f>
        <v>261957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264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245329.98</v>
      </c>
      <c r="P218" s="229">
        <f t="shared" si="102"/>
        <v>4670.0199999999895</v>
      </c>
      <c r="Q218" s="22">
        <f t="shared" si="102"/>
        <v>0</v>
      </c>
      <c r="R218" s="22">
        <f t="shared" si="102"/>
        <v>241231.68</v>
      </c>
      <c r="S218" s="22">
        <f t="shared" si="102"/>
        <v>11231.68</v>
      </c>
      <c r="T218" s="22">
        <f t="shared" si="102"/>
        <v>9517.73</v>
      </c>
      <c r="U218" s="154">
        <f>+IFERROR((R218/N218),0%)</f>
        <v>0.96492672000000002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245329.98</v>
      </c>
      <c r="P219" s="232">
        <f>+N219-O219</f>
        <v>4670.0199999999895</v>
      </c>
      <c r="Q219" s="31"/>
      <c r="R219" s="231">
        <f>IFERROR(VLOOKUP(G219,'Base Execução'!$A:$K,7,FALSE),0)</f>
        <v>241231.68</v>
      </c>
      <c r="S219" s="231">
        <f>IFERROR(VLOOKUP(G219,'Base Execução'!$A:$K,9,FALSE),0)</f>
        <v>11231.68</v>
      </c>
      <c r="T219" s="32">
        <f>IFERROR(VLOOKUP(G219,'Base Execução'!$A:$K,11,FALSE),0)</f>
        <v>9517.73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266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2144899.59</v>
      </c>
      <c r="P221" s="229">
        <f t="shared" si="103"/>
        <v>5100.410000000149</v>
      </c>
      <c r="Q221" s="22">
        <f t="shared" si="103"/>
        <v>0</v>
      </c>
      <c r="R221" s="22">
        <f t="shared" si="103"/>
        <v>1984501.1</v>
      </c>
      <c r="S221" s="22">
        <f t="shared" si="103"/>
        <v>1105235.02</v>
      </c>
      <c r="T221" s="22">
        <f t="shared" si="103"/>
        <v>968502.9</v>
      </c>
      <c r="U221" s="154">
        <f>+IFERROR((R221/N221),0%)</f>
        <v>0.92302376744186054</v>
      </c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2144899.59</v>
      </c>
      <c r="P222" s="232">
        <f>+N222-O222</f>
        <v>5100.410000000149</v>
      </c>
      <c r="Q222" s="31"/>
      <c r="R222" s="231">
        <f>IFERROR(VLOOKUP(G222,'Base Execução'!$A:$K,7,FALSE),0)</f>
        <v>1984501.1</v>
      </c>
      <c r="S222" s="231">
        <f>IFERROR(VLOOKUP(G222,'Base Execução'!$A:$K,9,FALSE),0)</f>
        <v>1105235.02</v>
      </c>
      <c r="T222" s="32">
        <f>IFERROR(VLOOKUP(G222,'Base Execução'!$A:$K,11,FALSE),0)</f>
        <v>968502.9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267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2351489.84</v>
      </c>
      <c r="P224" s="21">
        <f t="shared" si="104"/>
        <v>295065.16000000003</v>
      </c>
      <c r="Q224" s="22">
        <f t="shared" si="104"/>
        <v>0</v>
      </c>
      <c r="R224" s="21">
        <f t="shared" si="104"/>
        <v>2350540.02</v>
      </c>
      <c r="S224" s="21">
        <f t="shared" si="104"/>
        <v>830407.58</v>
      </c>
      <c r="T224" s="21">
        <f t="shared" si="104"/>
        <v>788367.52</v>
      </c>
      <c r="U224" s="156">
        <f>+IFERROR((R224/N224),0%)</f>
        <v>0.8881508300413179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322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2138773.84</v>
      </c>
      <c r="P227" s="32">
        <f t="shared" si="106"/>
        <v>61226.16</v>
      </c>
      <c r="Q227" s="32">
        <f t="shared" si="106"/>
        <v>0</v>
      </c>
      <c r="R227" s="32">
        <f t="shared" si="106"/>
        <v>2137824.02</v>
      </c>
      <c r="S227" s="32">
        <f t="shared" si="106"/>
        <v>830407.58</v>
      </c>
      <c r="T227" s="32">
        <f t="shared" si="106"/>
        <v>788367.52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0</v>
      </c>
      <c r="T228" s="32">
        <f t="shared" si="107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268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138773.84</v>
      </c>
      <c r="P233" s="228">
        <f t="shared" si="110"/>
        <v>61226.16</v>
      </c>
      <c r="Q233" s="21">
        <f t="shared" si="110"/>
        <v>0</v>
      </c>
      <c r="R233" s="21">
        <f t="shared" si="110"/>
        <v>137824.32000000001</v>
      </c>
      <c r="S233" s="21">
        <f t="shared" si="110"/>
        <v>133143.01</v>
      </c>
      <c r="T233" s="21">
        <f t="shared" si="110"/>
        <v>122292.31</v>
      </c>
      <c r="U233" s="154">
        <f>+IFERROR((R233/N233),0%)</f>
        <v>0.6891216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138773.84</v>
      </c>
      <c r="P234" s="231">
        <f>+N234-O234</f>
        <v>61226.16</v>
      </c>
      <c r="Q234" s="32"/>
      <c r="R234" s="231">
        <f>IFERROR(VLOOKUP(G234,'Base Execução'!$A:$K,7,FALSE),0)</f>
        <v>137824.32000000001</v>
      </c>
      <c r="S234" s="231">
        <f>IFERROR(VLOOKUP(G234,'Base Execução'!$A:$K,9,FALSE),0)</f>
        <v>133143.01</v>
      </c>
      <c r="T234" s="32">
        <f>IFERROR(VLOOKUP(G234,'Base Execução'!$A:$K,11,FALSE),0)</f>
        <v>122292.31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269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1791716</v>
      </c>
      <c r="P236" s="21">
        <f>SUM(P237:P240)</f>
        <v>233839</v>
      </c>
      <c r="Q236" s="21">
        <f>SUM(Q237:Q239)</f>
        <v>0</v>
      </c>
      <c r="R236" s="21">
        <f>SUM(R237:R240)</f>
        <v>1791715.7</v>
      </c>
      <c r="S236" s="21">
        <f>SUM(S237:S240)</f>
        <v>692752.36</v>
      </c>
      <c r="T236" s="21">
        <f>SUM(T237:T240)</f>
        <v>666075.21</v>
      </c>
      <c r="U236" s="154">
        <f>+IFERROR((R236/N236),0%)</f>
        <v>0.88455544282924925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1579000</v>
      </c>
      <c r="P238" s="231">
        <f>+N238-O238</f>
        <v>0</v>
      </c>
      <c r="Q238" s="33"/>
      <c r="R238" s="231">
        <f>IFERROR(VLOOKUP(G238,'Base Execução'!$A:$K,7,FALSE),0)</f>
        <v>1578999.7</v>
      </c>
      <c r="S238" s="231">
        <f>IFERROR(VLOOKUP(G238,'Base Execução'!$A:$K,9,FALSE),0)</f>
        <v>692752.36</v>
      </c>
      <c r="T238" s="32">
        <f>IFERROR(VLOOKUP(G238,'Base Execução'!$A:$K,11,FALSE),0)</f>
        <v>666075.21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306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270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0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271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323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272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8719184.790000001</v>
      </c>
      <c r="P257" s="21">
        <f t="shared" si="117"/>
        <v>102666.21000000037</v>
      </c>
      <c r="Q257" s="22">
        <f t="shared" si="117"/>
        <v>0</v>
      </c>
      <c r="R257" s="21">
        <f t="shared" si="117"/>
        <v>7755103.9199999999</v>
      </c>
      <c r="S257" s="21">
        <f t="shared" si="117"/>
        <v>4063959.09</v>
      </c>
      <c r="T257" s="21">
        <f t="shared" si="117"/>
        <v>3553420.3400000003</v>
      </c>
      <c r="U257" s="156">
        <f>+IFERROR((R257/N257),0%)</f>
        <v>0.87907899600662032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324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7763841.3500000006</v>
      </c>
      <c r="P259" s="32">
        <f t="shared" si="118"/>
        <v>58009.650000000314</v>
      </c>
      <c r="Q259" s="32">
        <f t="shared" ref="Q259" si="119">Q265+Q269+Q273+Q276</f>
        <v>0</v>
      </c>
      <c r="R259" s="32">
        <f t="shared" si="118"/>
        <v>6799760.4799999995</v>
      </c>
      <c r="S259" s="32">
        <f t="shared" si="118"/>
        <v>3807493.09</v>
      </c>
      <c r="T259" s="32">
        <f t="shared" si="118"/>
        <v>3332940.3400000003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955343.44</v>
      </c>
      <c r="P260" s="32">
        <f t="shared" si="120"/>
        <v>44656.560000000056</v>
      </c>
      <c r="Q260" s="32">
        <f t="shared" si="120"/>
        <v>0</v>
      </c>
      <c r="R260" s="32">
        <f t="shared" si="120"/>
        <v>955343.44</v>
      </c>
      <c r="S260" s="32">
        <f t="shared" si="120"/>
        <v>256466</v>
      </c>
      <c r="T260" s="32">
        <f t="shared" si="120"/>
        <v>220480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273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239000</v>
      </c>
      <c r="L264" s="22">
        <f t="shared" si="122"/>
        <v>3238999</v>
      </c>
      <c r="M264" s="22">
        <f t="shared" si="122"/>
        <v>0</v>
      </c>
      <c r="N264" s="22">
        <f t="shared" si="122"/>
        <v>3238999</v>
      </c>
      <c r="O264" s="22">
        <f t="shared" si="122"/>
        <v>3185404.03</v>
      </c>
      <c r="P264" s="22">
        <f t="shared" si="122"/>
        <v>53594.970000000205</v>
      </c>
      <c r="Q264" s="22">
        <f t="shared" si="122"/>
        <v>0</v>
      </c>
      <c r="R264" s="22">
        <f t="shared" si="122"/>
        <v>3055105.43</v>
      </c>
      <c r="S264" s="22">
        <f t="shared" si="122"/>
        <v>1511408.04</v>
      </c>
      <c r="T264" s="22">
        <f t="shared" si="122"/>
        <v>1387235.57</v>
      </c>
      <c r="U264" s="154">
        <f>+IFERROR((R264/N264),0%)</f>
        <v>0.94322518469440719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239000</v>
      </c>
      <c r="L265" s="32">
        <f>IFERROR(VLOOKUP(G265,'Base Zero'!$A:$L,10,FALSE),0)</f>
        <v>2238999</v>
      </c>
      <c r="M265" s="32">
        <f>+L265-N265</f>
        <v>0</v>
      </c>
      <c r="N265" s="32">
        <f>IFERROR(VLOOKUP(G265,'Base Zero'!$A:$P,16,FALSE),0)</f>
        <v>2238999</v>
      </c>
      <c r="O265" s="32">
        <f>IFERROR(VLOOKUP(G265,'Base Execução'!A:M,6,FALSE),0)+IFERROR(VLOOKUP(G265,'Destaque Liberado pela CPRM'!A:F,6,FALSE),0)</f>
        <v>2230060.59</v>
      </c>
      <c r="P265" s="231">
        <f>+N265-O265</f>
        <v>8938.410000000149</v>
      </c>
      <c r="Q265" s="32"/>
      <c r="R265" s="231">
        <f>IFERROR(VLOOKUP(G265,'Base Execução'!$A:$K,7,FALSE),0)</f>
        <v>2099761.9900000002</v>
      </c>
      <c r="S265" s="231">
        <f>IFERROR(VLOOKUP(G265,'Base Execução'!$A:$K,9,FALSE),0)</f>
        <v>1254942.04</v>
      </c>
      <c r="T265" s="32">
        <f>IFERROR(VLOOKUP(G265,'Base Execução'!$A:$K,11,FALSE),0)</f>
        <v>1166755.57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955343.44</v>
      </c>
      <c r="P266" s="231">
        <f>+N266-O266</f>
        <v>44656.560000000056</v>
      </c>
      <c r="Q266" s="33"/>
      <c r="R266" s="231">
        <f>IFERROR(VLOOKUP(G266,'Base Execução'!$A:$K,7,FALSE),0)</f>
        <v>955343.44</v>
      </c>
      <c r="S266" s="231">
        <f>IFERROR(VLOOKUP(G266,'Base Execução'!$A:$K,9,FALSE),0)</f>
        <v>256466</v>
      </c>
      <c r="T266" s="32">
        <f>IFERROR(VLOOKUP(G266,'Base Execução'!$A:$K,11,FALSE),0)</f>
        <v>220480</v>
      </c>
      <c r="U266" s="155"/>
    </row>
    <row r="267" spans="1:33" ht="15" customHeight="1" x14ac:dyDescent="0.2">
      <c r="A267" s="272"/>
      <c r="B267" s="424" t="s">
        <v>274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-828074</v>
      </c>
      <c r="L268" s="22">
        <f t="shared" si="123"/>
        <v>4171926</v>
      </c>
      <c r="M268" s="22">
        <f t="shared" si="123"/>
        <v>0</v>
      </c>
      <c r="N268" s="22">
        <f t="shared" si="123"/>
        <v>4171926</v>
      </c>
      <c r="O268" s="22">
        <f t="shared" si="123"/>
        <v>4136705.07</v>
      </c>
      <c r="P268" s="229">
        <f t="shared" si="123"/>
        <v>35220.930000000168</v>
      </c>
      <c r="Q268" s="22">
        <f t="shared" si="123"/>
        <v>0</v>
      </c>
      <c r="R268" s="22">
        <f t="shared" si="123"/>
        <v>3352757.02</v>
      </c>
      <c r="S268" s="22">
        <f t="shared" si="123"/>
        <v>2380971.5099999998</v>
      </c>
      <c r="T268" s="22">
        <f t="shared" si="123"/>
        <v>2010811.67</v>
      </c>
      <c r="U268" s="154">
        <f>+IFERROR((R268/N268),0%)</f>
        <v>0.80364728904587479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-828074</v>
      </c>
      <c r="L269" s="32">
        <f>IFERROR(VLOOKUP(G269,'Base Zero'!$A:$L,10,FALSE),0)</f>
        <v>4171926</v>
      </c>
      <c r="M269" s="32">
        <f>+L269-N269</f>
        <v>0</v>
      </c>
      <c r="N269" s="32">
        <f>IFERROR(VLOOKUP(G269,'Base Zero'!$A:$P,16,FALSE),0)</f>
        <v>4171926</v>
      </c>
      <c r="O269" s="32">
        <f>IFERROR(VLOOKUP(G269,'Base Execução'!A:M,6,FALSE),0)+IFERROR(VLOOKUP(G269,'Destaque Liberado pela CPRM'!A:F,6,FALSE),0)</f>
        <v>4136705.07</v>
      </c>
      <c r="P269" s="231">
        <f>+N269-O269</f>
        <v>35220.930000000168</v>
      </c>
      <c r="Q269" s="32"/>
      <c r="R269" s="231">
        <f>IFERROR(VLOOKUP(G269,'Base Execução'!$A:$K,7,FALSE),0)</f>
        <v>3352757.02</v>
      </c>
      <c r="S269" s="231">
        <f>IFERROR(VLOOKUP(G269,'Base Execução'!$A:$K,9,FALSE),0)</f>
        <v>2380971.5099999998</v>
      </c>
      <c r="T269" s="32">
        <f>IFERROR(VLOOKUP(G269,'Base Execução'!$A:$K,11,FALSE),0)</f>
        <v>2010811.67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275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397075.69</v>
      </c>
      <c r="P272" s="229">
        <f t="shared" si="124"/>
        <v>13849.309999999998</v>
      </c>
      <c r="Q272" s="22">
        <f t="shared" si="124"/>
        <v>0</v>
      </c>
      <c r="R272" s="22">
        <f t="shared" si="124"/>
        <v>347241.47</v>
      </c>
      <c r="S272" s="22">
        <f t="shared" si="124"/>
        <v>171579.54</v>
      </c>
      <c r="T272" s="22">
        <f t="shared" si="124"/>
        <v>155373.1</v>
      </c>
      <c r="U272" s="154">
        <f>+IFERROR((R272/N272),0%)</f>
        <v>0.84502395814321341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397075.69</v>
      </c>
      <c r="P273" s="231">
        <f>+N273-O273</f>
        <v>13849.309999999998</v>
      </c>
      <c r="Q273" s="32"/>
      <c r="R273" s="231">
        <f>IFERROR(VLOOKUP(G273,'Base Execução'!$A:$K,7,FALSE),0)</f>
        <v>347241.47</v>
      </c>
      <c r="S273" s="231">
        <f>IFERROR(VLOOKUP(G273,'Base Execução'!$A:$K,9,FALSE),0)</f>
        <v>171579.54</v>
      </c>
      <c r="T273" s="32">
        <f>IFERROR(VLOOKUP(G273,'Base Execução'!$A:$K,11,FALSE),0)</f>
        <v>155373.1</v>
      </c>
      <c r="U273" s="155"/>
    </row>
    <row r="274" spans="1:33" ht="24.95" customHeight="1" x14ac:dyDescent="0.2">
      <c r="A274" s="272"/>
      <c r="B274" s="424" t="s">
        <v>276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355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356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277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1230181.99</v>
      </c>
      <c r="P281" s="21">
        <f t="shared" si="127"/>
        <v>93095.010000000009</v>
      </c>
      <c r="Q281" s="22">
        <f t="shared" si="127"/>
        <v>0</v>
      </c>
      <c r="R281" s="21">
        <f t="shared" si="127"/>
        <v>1194036.98</v>
      </c>
      <c r="S281" s="21">
        <f t="shared" si="127"/>
        <v>244150.46</v>
      </c>
      <c r="T281" s="21">
        <f t="shared" si="127"/>
        <v>210866.35</v>
      </c>
      <c r="U281" s="156">
        <f>+IFERROR((R281/N281),0%)</f>
        <v>0.90233335877522236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325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339310.99</v>
      </c>
      <c r="P283" s="32">
        <f t="shared" si="128"/>
        <v>92598.010000000009</v>
      </c>
      <c r="Q283" s="32">
        <f t="shared" si="128"/>
        <v>0</v>
      </c>
      <c r="R283" s="32">
        <f t="shared" si="128"/>
        <v>303165.98</v>
      </c>
      <c r="S283" s="32">
        <f t="shared" si="128"/>
        <v>226157.46</v>
      </c>
      <c r="T283" s="32">
        <f t="shared" si="128"/>
        <v>210866.35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17993</v>
      </c>
      <c r="T284" s="32">
        <f t="shared" si="129"/>
        <v>0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278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1230181.99</v>
      </c>
      <c r="P287" s="22">
        <f t="shared" si="130"/>
        <v>93095.010000000009</v>
      </c>
      <c r="Q287" s="22">
        <f t="shared" si="130"/>
        <v>0</v>
      </c>
      <c r="R287" s="22">
        <f t="shared" si="130"/>
        <v>1194036.98</v>
      </c>
      <c r="S287" s="22">
        <f t="shared" si="130"/>
        <v>244150.46</v>
      </c>
      <c r="T287" s="22">
        <f t="shared" si="130"/>
        <v>210866.35</v>
      </c>
      <c r="U287" s="154">
        <f>+IFERROR((R287/N287),0%)</f>
        <v>0.90233335877522236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339310.99</v>
      </c>
      <c r="P288" s="231">
        <f>+N288-O288</f>
        <v>92598.010000000009</v>
      </c>
      <c r="Q288" s="32"/>
      <c r="R288" s="231">
        <f>IFERROR(VLOOKUP(G288,'Base Execução'!$A:$K,7,FALSE),0)</f>
        <v>303165.98</v>
      </c>
      <c r="S288" s="231">
        <f>IFERROR(VLOOKUP(G288,'Base Execução'!$A:$K,9,FALSE),0)</f>
        <v>226157.46</v>
      </c>
      <c r="T288" s="32">
        <f>IFERROR(VLOOKUP(G288,'Base Execução'!$A:$K,11,FALSE),0)</f>
        <v>210866.35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17993</v>
      </c>
      <c r="T289" s="32">
        <f>IFERROR(VLOOKUP(G289,'Base Execução'!$A:$K,11,FALSE),0)</f>
        <v>0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279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170478</v>
      </c>
      <c r="N291" s="21">
        <f t="shared" si="131"/>
        <v>6645911</v>
      </c>
      <c r="O291" s="21">
        <f t="shared" si="131"/>
        <v>5547105.6200000001</v>
      </c>
      <c r="P291" s="21">
        <f t="shared" si="131"/>
        <v>1098805.3799999999</v>
      </c>
      <c r="Q291" s="22">
        <f>SUM(Q293:Q295)</f>
        <v>0</v>
      </c>
      <c r="R291" s="21">
        <f t="shared" si="131"/>
        <v>4425366.37</v>
      </c>
      <c r="S291" s="21">
        <f t="shared" si="131"/>
        <v>1719967.7200000002</v>
      </c>
      <c r="T291" s="21">
        <f t="shared" si="131"/>
        <v>1554895.72</v>
      </c>
      <c r="U291" s="156">
        <f>+IFERROR((R291/N291),0%)</f>
        <v>0.66587806697983165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326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4569959.84</v>
      </c>
      <c r="P293" s="32">
        <f t="shared" si="132"/>
        <v>230040.16</v>
      </c>
      <c r="Q293" s="32">
        <f t="shared" si="132"/>
        <v>0</v>
      </c>
      <c r="R293" s="32">
        <f t="shared" si="132"/>
        <v>3463705.05</v>
      </c>
      <c r="S293" s="32">
        <f t="shared" si="132"/>
        <v>1600644.9500000002</v>
      </c>
      <c r="T293" s="32">
        <f t="shared" si="132"/>
        <v>1440100.14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863597.15</v>
      </c>
      <c r="P294" s="32">
        <f t="shared" si="133"/>
        <v>252791.85</v>
      </c>
      <c r="Q294" s="32">
        <f t="shared" ref="Q294" si="134">Q303</f>
        <v>0</v>
      </c>
      <c r="R294" s="32">
        <f t="shared" si="133"/>
        <v>859782.25</v>
      </c>
      <c r="S294" s="32">
        <f t="shared" si="133"/>
        <v>40656</v>
      </c>
      <c r="T294" s="32">
        <f t="shared" si="133"/>
        <v>37557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0</v>
      </c>
      <c r="N295" s="32">
        <f t="shared" si="135"/>
        <v>700000</v>
      </c>
      <c r="O295" s="32">
        <f t="shared" si="135"/>
        <v>113548.63</v>
      </c>
      <c r="P295" s="32">
        <f t="shared" si="135"/>
        <v>586451.37</v>
      </c>
      <c r="Q295" s="32">
        <f t="shared" ref="Q295" si="136">Q304</f>
        <v>0</v>
      </c>
      <c r="R295" s="32">
        <f t="shared" si="135"/>
        <v>101879.07</v>
      </c>
      <c r="S295" s="32">
        <f t="shared" si="135"/>
        <v>78666.77</v>
      </c>
      <c r="T295" s="32">
        <f t="shared" si="135"/>
        <v>77238.58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170478</v>
      </c>
      <c r="N296" s="32">
        <f t="shared" si="137"/>
        <v>29522</v>
      </c>
      <c r="O296" s="32">
        <f t="shared" si="137"/>
        <v>0</v>
      </c>
      <c r="P296" s="32">
        <f t="shared" si="137"/>
        <v>29522</v>
      </c>
      <c r="Q296" s="32"/>
      <c r="R296" s="32">
        <f t="shared" si="137"/>
        <v>0</v>
      </c>
      <c r="S296" s="32">
        <f t="shared" si="137"/>
        <v>0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280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149664.07</v>
      </c>
      <c r="S301" s="21">
        <f>SUM(S302:S306)</f>
        <v>110743.74</v>
      </c>
      <c r="T301" s="21">
        <f>SUM(T302:T306)</f>
        <v>108411.71</v>
      </c>
      <c r="U301" s="154">
        <f>+IFERROR((R301/N301),0%)</f>
        <v>0.74832035000000008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149664.07</v>
      </c>
      <c r="S302" s="231">
        <f>IFERROR(VLOOKUP(G302,'Base Execução'!$A:$K,9,FALSE),0)</f>
        <v>110743.74</v>
      </c>
      <c r="T302" s="32">
        <f>IFERROR(VLOOKUP(G302,'Base Execução'!$A:$K,11,FALSE),0)</f>
        <v>108411.71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281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4047782.25</v>
      </c>
      <c r="P308" s="22">
        <f t="shared" si="141"/>
        <v>168606.75</v>
      </c>
      <c r="Q308" s="33"/>
      <c r="R308" s="22">
        <f t="shared" ref="R308" si="142">SUM(R309:R310)</f>
        <v>3044263.44</v>
      </c>
      <c r="S308" s="22">
        <f t="shared" ref="S308" si="143">SUM(S309:S310)</f>
        <v>951423.51</v>
      </c>
      <c r="T308" s="22">
        <f t="shared" ref="T308" si="144">SUM(T309:T310)</f>
        <v>852480.94</v>
      </c>
      <c r="U308" s="154">
        <f>+IFERROR((R308/N308),0%)</f>
        <v>0.72200725312583824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3300000</v>
      </c>
      <c r="P309" s="231">
        <f>+N309-O309</f>
        <v>0</v>
      </c>
      <c r="Q309" s="32"/>
      <c r="R309" s="231">
        <f>IFERROR(VLOOKUP(G309,'Base Execução'!$A:$K,7,FALSE),0)</f>
        <v>2296481.19</v>
      </c>
      <c r="S309" s="231">
        <f>IFERROR(VLOOKUP(G309,'Base Execução'!$A:$K,9,FALSE),0)</f>
        <v>910767.51</v>
      </c>
      <c r="T309" s="32">
        <f>IFERROR(VLOOKUP(G309,'Base Execução'!$A:$K,11,FALSE),0)</f>
        <v>814923.94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747782.25</v>
      </c>
      <c r="P310" s="231">
        <f>+N310-O310</f>
        <v>168606.75</v>
      </c>
      <c r="Q310" s="32"/>
      <c r="R310" s="231">
        <f>IFERROR(VLOOKUP(G310,'Base Execução'!$A:$K,7,FALSE),0)</f>
        <v>747782.25</v>
      </c>
      <c r="S310" s="231">
        <f>IFERROR(VLOOKUP(G310,'Base Execução'!$A:$K,9,FALSE),0)</f>
        <v>40656</v>
      </c>
      <c r="T310" s="32">
        <f>IFERROR(VLOOKUP(G310,'Base Execução'!$A:$K,11,FALSE),0)</f>
        <v>37557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715809.4</v>
      </c>
      <c r="P312" s="22">
        <f t="shared" si="145"/>
        <v>84190.6</v>
      </c>
      <c r="Q312" s="33"/>
      <c r="R312" s="22">
        <f t="shared" ref="R312" si="146">SUM(R313:R314)</f>
        <v>674400.73</v>
      </c>
      <c r="S312" s="22">
        <f t="shared" ref="S312" si="147">SUM(S313:S314)</f>
        <v>302476.56</v>
      </c>
      <c r="T312" s="22">
        <f t="shared" ref="T312" si="148">SUM(T313:T314)</f>
        <v>264709.67</v>
      </c>
      <c r="U312" s="154">
        <f>+IFERROR((R312/N312),0%)</f>
        <v>0.84300091249999998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699994.5</v>
      </c>
      <c r="P313" s="231">
        <f>+N313-O313</f>
        <v>5.5</v>
      </c>
      <c r="Q313" s="32"/>
      <c r="R313" s="231">
        <f>IFERROR(VLOOKUP(G313,'Base Execução'!$A:$K,7,FALSE),0)</f>
        <v>662400.73</v>
      </c>
      <c r="S313" s="231">
        <f>IFERROR(VLOOKUP(G313,'Base Execução'!$A:$K,9,FALSE),0)</f>
        <v>302476.56</v>
      </c>
      <c r="T313" s="32">
        <f>IFERROR(VLOOKUP(G313,'Base Execução'!$A:$K,11,FALSE),0)</f>
        <v>264709.67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12000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503685.61</v>
      </c>
      <c r="P316" s="22">
        <f t="shared" si="149"/>
        <v>196314.39</v>
      </c>
      <c r="Q316" s="33"/>
      <c r="R316" s="22">
        <f t="shared" ref="R316" si="150">SUM(R317:R318)</f>
        <v>455159.06</v>
      </c>
      <c r="S316" s="22">
        <f t="shared" ref="S316" si="151">SUM(S317:S318)</f>
        <v>276657.14</v>
      </c>
      <c r="T316" s="22">
        <f t="shared" ref="T316" si="152">SUM(T317:T318)</f>
        <v>252054.82</v>
      </c>
      <c r="U316" s="154">
        <f>+IFERROR((R316/N316),0%)</f>
        <v>0.65022722857142856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403685.61</v>
      </c>
      <c r="P317" s="231">
        <f>+N317-O317</f>
        <v>196314.39</v>
      </c>
      <c r="Q317" s="32"/>
      <c r="R317" s="231">
        <f>IFERROR(VLOOKUP(G317,'Base Execução'!$A:$K,7,FALSE),0)</f>
        <v>355159.06</v>
      </c>
      <c r="S317" s="231">
        <f>IFERROR(VLOOKUP(G317,'Base Execução'!$A:$K,9,FALSE),0)</f>
        <v>276657.14</v>
      </c>
      <c r="T317" s="32">
        <f>IFERROR(VLOOKUP(G317,'Base Execução'!$A:$K,11,FALSE),0)</f>
        <v>252054.82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357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358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113548.63</v>
      </c>
      <c r="P320" s="229">
        <f t="shared" si="153"/>
        <v>586451.37</v>
      </c>
      <c r="Q320" s="33"/>
      <c r="R320" s="229">
        <f>SUM(R321:R321)</f>
        <v>101879.07</v>
      </c>
      <c r="S320" s="229">
        <f>SUM(S321:S321)</f>
        <v>78666.77</v>
      </c>
      <c r="T320" s="22">
        <f>SUM(T321:T321)</f>
        <v>77238.58</v>
      </c>
      <c r="U320" s="154">
        <f>+IFERROR((R320/N320),0%)</f>
        <v>0.14554152857142857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0</v>
      </c>
      <c r="N321" s="32">
        <f>IFERROR(VLOOKUP(G321,'Base Zero'!$A:$P,16,FALSE),0)</f>
        <v>700000</v>
      </c>
      <c r="O321" s="32">
        <f>IFERROR(VLOOKUP(G321,'Base Execução'!A:M,6,FALSE),0)+IFERROR(VLOOKUP(G321,'Destaque Liberado pela CPRM'!A:F,6,FALSE),0)</f>
        <v>113548.63</v>
      </c>
      <c r="P321" s="231">
        <f>+N321-O321</f>
        <v>586451.37</v>
      </c>
      <c r="Q321" s="32"/>
      <c r="R321" s="231">
        <f>IFERROR(VLOOKUP(G321,'Base Execução'!$A:$K,7,FALSE),0)</f>
        <v>101879.07</v>
      </c>
      <c r="S321" s="231">
        <f>IFERROR(VLOOKUP(G321,'Base Execução'!$A:$K,9,FALSE),0)</f>
        <v>78666.77</v>
      </c>
      <c r="T321" s="32">
        <f>IFERROR(VLOOKUP(G321,'Base Execução'!$A:$K,11,FALSE),0)</f>
        <v>77238.58</v>
      </c>
      <c r="U321" s="155"/>
    </row>
    <row r="322" spans="1:33" s="11" customFormat="1" ht="24.95" customHeight="1" x14ac:dyDescent="0.2">
      <c r="A322" s="95"/>
      <c r="B322" s="424" t="s">
        <v>359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360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170478</v>
      </c>
      <c r="N323" s="22">
        <f t="shared" si="154"/>
        <v>29522</v>
      </c>
      <c r="O323" s="22">
        <f t="shared" si="154"/>
        <v>0</v>
      </c>
      <c r="P323" s="229">
        <f t="shared" si="154"/>
        <v>29522</v>
      </c>
      <c r="Q323" s="32"/>
      <c r="R323" s="229">
        <f>SUM(R324:R324)</f>
        <v>0</v>
      </c>
      <c r="S323" s="229">
        <f>SUM(S324:S324)</f>
        <v>0</v>
      </c>
      <c r="T323" s="22">
        <f>SUM(T324:T324)</f>
        <v>0</v>
      </c>
      <c r="U323" s="154">
        <f>+IFERROR((R323/N323),0%)</f>
        <v>0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170478</v>
      </c>
      <c r="N324" s="32">
        <f>IFERROR(VLOOKUP(G324,'Base Zero'!$A:$P,16,FALSE),0)</f>
        <v>29522</v>
      </c>
      <c r="O324" s="32">
        <f>IFERROR(VLOOKUP(G324,'Base Execução'!A:M,6,FALSE),0)+IFERROR(VLOOKUP(G324,'Destaque Liberado pela CPRM'!A:F,6,FALSE),0)</f>
        <v>0</v>
      </c>
      <c r="P324" s="231">
        <f>+N324-O324</f>
        <v>29522</v>
      </c>
      <c r="Q324" s="32"/>
      <c r="R324" s="231">
        <f>IFERROR(VLOOKUP(G324,'Base Execução'!$A:$K,7,FALSE),0)</f>
        <v>0</v>
      </c>
      <c r="S324" s="231">
        <f>IFERROR(VLOOKUP(G324,'Base Execução'!$A:$K,9,FALSE),0)</f>
        <v>0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282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10802160.689999999</v>
      </c>
      <c r="P327" s="22">
        <f t="shared" si="155"/>
        <v>686839.31</v>
      </c>
      <c r="Q327" s="22">
        <f t="shared" si="155"/>
        <v>0</v>
      </c>
      <c r="R327" s="22">
        <f t="shared" si="155"/>
        <v>9776308.209999999</v>
      </c>
      <c r="S327" s="22">
        <f t="shared" si="155"/>
        <v>2978963.2699999996</v>
      </c>
      <c r="T327" s="22">
        <f t="shared" si="155"/>
        <v>2503008.0500000003</v>
      </c>
      <c r="U327" s="156">
        <f>+IFERROR((R327/N327),0%)</f>
        <v>0.85092768822351805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327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8811002.4399999995</v>
      </c>
      <c r="P329" s="31">
        <f t="shared" si="156"/>
        <v>677997.56</v>
      </c>
      <c r="Q329" s="31">
        <f t="shared" si="156"/>
        <v>0</v>
      </c>
      <c r="R329" s="31">
        <f t="shared" si="156"/>
        <v>7908443.959999999</v>
      </c>
      <c r="S329" s="31">
        <f t="shared" si="156"/>
        <v>2780185.0199999996</v>
      </c>
      <c r="T329" s="31">
        <f t="shared" si="156"/>
        <v>2305085.0500000003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1991158.25</v>
      </c>
      <c r="P330" s="31">
        <f t="shared" si="157"/>
        <v>8841.75</v>
      </c>
      <c r="Q330" s="31">
        <f>Q335</f>
        <v>0</v>
      </c>
      <c r="R330" s="31">
        <f t="shared" si="157"/>
        <v>1867864.25</v>
      </c>
      <c r="S330" s="31">
        <f t="shared" si="157"/>
        <v>198778.25</v>
      </c>
      <c r="T330" s="31">
        <f t="shared" si="157"/>
        <v>197923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283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221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5037065.7300000004</v>
      </c>
      <c r="P333" s="30">
        <f t="shared" si="158"/>
        <v>202934.27000000002</v>
      </c>
      <c r="Q333" s="30">
        <f t="shared" si="158"/>
        <v>0</v>
      </c>
      <c r="R333" s="30">
        <f t="shared" si="158"/>
        <v>4875137</v>
      </c>
      <c r="S333" s="30">
        <f t="shared" si="158"/>
        <v>1051845.8</v>
      </c>
      <c r="T333" s="30">
        <f t="shared" si="158"/>
        <v>1011024.48</v>
      </c>
      <c r="U333" s="154">
        <f>+IFERROR((R333/N333),0%)</f>
        <v>0.93036965648854963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3345627.48</v>
      </c>
      <c r="P334" s="232">
        <f>+N334-O334</f>
        <v>194372.52000000002</v>
      </c>
      <c r="Q334" s="35"/>
      <c r="R334" s="231">
        <f>IFERROR(VLOOKUP(G334,'Base Execução'!$A:$K,7,FALSE),0)</f>
        <v>3306992.75</v>
      </c>
      <c r="S334" s="231">
        <f>IFERROR(VLOOKUP(G334,'Base Execução'!$A:$K,9,FALSE),0)</f>
        <v>853067.55</v>
      </c>
      <c r="T334" s="32">
        <f>IFERROR(VLOOKUP(G334,'Base Execução'!$A:$K,11,FALSE),0)</f>
        <v>813101.48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1691438.25</v>
      </c>
      <c r="P335" s="232">
        <f>+N335-O335</f>
        <v>8561.75</v>
      </c>
      <c r="Q335" s="35"/>
      <c r="R335" s="231">
        <f>IFERROR(VLOOKUP(G335,'Base Execução'!$A:$K,7,FALSE),0)</f>
        <v>1568144.25</v>
      </c>
      <c r="S335" s="231">
        <f>IFERROR(VLOOKUP(G335,'Base Execução'!$A:$K,9,FALSE),0)</f>
        <v>198778.25</v>
      </c>
      <c r="T335" s="32">
        <f>IFERROR(VLOOKUP(G335,'Base Execução'!$A:$K,11,FALSE),0)</f>
        <v>197923</v>
      </c>
      <c r="U335" s="298"/>
    </row>
    <row r="336" spans="1:33" s="11" customFormat="1" ht="15" customHeight="1" x14ac:dyDescent="0.2">
      <c r="A336" s="272"/>
      <c r="B336" s="424" t="s">
        <v>284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223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661277.04</v>
      </c>
      <c r="P337" s="22">
        <f t="shared" si="159"/>
        <v>138722.96000000002</v>
      </c>
      <c r="Q337" s="22">
        <f>SUM(Q338:Q338)</f>
        <v>0</v>
      </c>
      <c r="R337" s="22">
        <f>SUM(R338:R339)</f>
        <v>612860.80000000005</v>
      </c>
      <c r="S337" s="22">
        <f>SUM(S338:S339)</f>
        <v>220968.65</v>
      </c>
      <c r="T337" s="22">
        <f>SUM(T338:T339)</f>
        <v>206188.32</v>
      </c>
      <c r="U337" s="154">
        <f>+IFERROR((R337/N337),0%)</f>
        <v>0.76607600000000009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361557.04</v>
      </c>
      <c r="P338" s="232">
        <f>+N338-O338</f>
        <v>138442.96000000002</v>
      </c>
      <c r="Q338" s="31"/>
      <c r="R338" s="231">
        <f>IFERROR(VLOOKUP(G338,'Base Execução'!$A:$K,7,FALSE),0)</f>
        <v>313140.8</v>
      </c>
      <c r="S338" s="231">
        <f>IFERROR(VLOOKUP(G338,'Base Execução'!$A:$K,9,FALSE),0)</f>
        <v>220968.65</v>
      </c>
      <c r="T338" s="32">
        <f>IFERROR(VLOOKUP(G338,'Base Execução'!$A:$K,11,FALSE),0)</f>
        <v>206188.32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0</v>
      </c>
      <c r="T339" s="32">
        <f>IFERROR(VLOOKUP(G339,'Base Execução'!$A:$K,11,FALSE),0)</f>
        <v>0</v>
      </c>
      <c r="U339" s="298"/>
    </row>
    <row r="340" spans="1:33" ht="24.95" customHeight="1" x14ac:dyDescent="0.2">
      <c r="A340" s="272"/>
      <c r="B340" s="424" t="s">
        <v>285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222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699259.83</v>
      </c>
      <c r="P341" s="229">
        <f t="shared" si="160"/>
        <v>127740.17000000004</v>
      </c>
      <c r="Q341" s="22">
        <f t="shared" si="160"/>
        <v>0</v>
      </c>
      <c r="R341" s="22">
        <f t="shared" si="160"/>
        <v>636440.68000000005</v>
      </c>
      <c r="S341" s="22">
        <f t="shared" si="160"/>
        <v>470457.78</v>
      </c>
      <c r="T341" s="22">
        <f t="shared" si="160"/>
        <v>430355.32</v>
      </c>
      <c r="U341" s="154">
        <f>+IFERROR((R341/N341),0%)</f>
        <v>0.76957760580411128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699259.83</v>
      </c>
      <c r="P342" s="232">
        <f>+N342-O342</f>
        <v>127740.17000000004</v>
      </c>
      <c r="Q342" s="35"/>
      <c r="R342" s="231">
        <f>IFERROR(VLOOKUP(G342,'Base Execução'!$A:$K,7,FALSE),0)</f>
        <v>636440.68000000005</v>
      </c>
      <c r="S342" s="231">
        <f>IFERROR(VLOOKUP(G342,'Base Execução'!$A:$K,9,FALSE),0)</f>
        <v>470457.78</v>
      </c>
      <c r="T342" s="32">
        <f>IFERROR(VLOOKUP(G342,'Base Execução'!$A:$K,11,FALSE),0)</f>
        <v>430355.32</v>
      </c>
      <c r="U342" s="298"/>
    </row>
    <row r="343" spans="1:33" ht="15" customHeight="1" x14ac:dyDescent="0.2">
      <c r="A343" s="272"/>
      <c r="B343" s="424" t="s">
        <v>286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1563075.74</v>
      </c>
      <c r="P344" s="229">
        <f t="shared" si="161"/>
        <v>14924.260000000009</v>
      </c>
      <c r="Q344" s="22">
        <f t="shared" si="161"/>
        <v>0</v>
      </c>
      <c r="R344" s="22">
        <f t="shared" si="161"/>
        <v>1200856.75</v>
      </c>
      <c r="S344" s="22">
        <f t="shared" si="161"/>
        <v>669255.94999999995</v>
      </c>
      <c r="T344" s="22">
        <f t="shared" si="161"/>
        <v>542973.30000000005</v>
      </c>
      <c r="U344" s="154">
        <f>+IFERROR((R344/N344),0%)</f>
        <v>0.7609992078580482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1563075.74</v>
      </c>
      <c r="P345" s="232">
        <f>+N345-O345</f>
        <v>14924.260000000009</v>
      </c>
      <c r="Q345" s="35"/>
      <c r="R345" s="231">
        <f>IFERROR(VLOOKUP(G345,'Base Execução'!$A:$K,7,FALSE),0)</f>
        <v>1200856.75</v>
      </c>
      <c r="S345" s="231">
        <f>IFERROR(VLOOKUP(G345,'Base Execução'!$A:$K,9,FALSE),0)</f>
        <v>669255.94999999995</v>
      </c>
      <c r="T345" s="32">
        <f>IFERROR(VLOOKUP(G345,'Base Execução'!$A:$K,11,FALSE),0)</f>
        <v>542973.30000000005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354024.79</v>
      </c>
      <c r="P347" s="229">
        <f t="shared" si="162"/>
        <v>48975.210000000021</v>
      </c>
      <c r="Q347" s="22">
        <f t="shared" si="162"/>
        <v>0</v>
      </c>
      <c r="R347" s="22">
        <f t="shared" si="162"/>
        <v>290006.71999999997</v>
      </c>
      <c r="S347" s="22">
        <f t="shared" si="162"/>
        <v>224166.39999999999</v>
      </c>
      <c r="T347" s="22">
        <f t="shared" si="162"/>
        <v>192140.53</v>
      </c>
      <c r="U347" s="154">
        <f>+IFERROR((R347/N347),0%)</f>
        <v>0.71961965260545901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354024.79</v>
      </c>
      <c r="P348" s="232">
        <f>+N348-O348</f>
        <v>48975.210000000021</v>
      </c>
      <c r="Q348" s="35"/>
      <c r="R348" s="231">
        <f>IFERROR(VLOOKUP(G348,'Base Execução'!$A:$K,7,FALSE),0)</f>
        <v>290006.71999999997</v>
      </c>
      <c r="S348" s="231">
        <f>IFERROR(VLOOKUP(G348,'Base Execução'!$A:$K,9,FALSE),0)</f>
        <v>224166.39999999999</v>
      </c>
      <c r="T348" s="32">
        <f>IFERROR(VLOOKUP(G348,'Base Execução'!$A:$K,11,FALSE),0)</f>
        <v>192140.53</v>
      </c>
      <c r="U348" s="298"/>
    </row>
    <row r="349" spans="1:33" ht="15" customHeight="1" x14ac:dyDescent="0.2">
      <c r="A349" s="272"/>
      <c r="B349" s="424" t="s">
        <v>287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2487457.56</v>
      </c>
      <c r="P350" s="229">
        <f t="shared" si="163"/>
        <v>153542.43999999994</v>
      </c>
      <c r="Q350" s="22">
        <f t="shared" si="163"/>
        <v>0</v>
      </c>
      <c r="R350" s="22">
        <f t="shared" si="163"/>
        <v>2161006.2599999998</v>
      </c>
      <c r="S350" s="22">
        <f t="shared" si="163"/>
        <v>342268.69</v>
      </c>
      <c r="T350" s="22">
        <f t="shared" si="163"/>
        <v>120326.1</v>
      </c>
      <c r="U350" s="154">
        <f>+IFERROR((R350/N350),0%)</f>
        <v>0.8182530329420673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2487457.56</v>
      </c>
      <c r="P351" s="232">
        <f>+N351-O351</f>
        <v>153542.43999999994</v>
      </c>
      <c r="Q351" s="35"/>
      <c r="R351" s="231">
        <f>IFERROR(VLOOKUP(G351,'Base Execução'!$A:$K,7,FALSE),0)</f>
        <v>2161006.2599999998</v>
      </c>
      <c r="S351" s="231">
        <f>IFERROR(VLOOKUP(G351,'Base Execução'!$A:$K,9,FALSE),0)</f>
        <v>342268.69</v>
      </c>
      <c r="T351" s="32">
        <f>IFERROR(VLOOKUP(G351,'Base Execução'!$A:$K,11,FALSE),0)</f>
        <v>120326.1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288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14124076.920000002</v>
      </c>
      <c r="P353" s="22">
        <f t="shared" si="164"/>
        <v>610198.07999999984</v>
      </c>
      <c r="Q353" s="22">
        <f t="shared" si="164"/>
        <v>0</v>
      </c>
      <c r="R353" s="22">
        <f t="shared" si="164"/>
        <v>13826997.100000001</v>
      </c>
      <c r="S353" s="22">
        <f t="shared" si="164"/>
        <v>3849094.38</v>
      </c>
      <c r="T353" s="22">
        <f t="shared" si="164"/>
        <v>3419181.85</v>
      </c>
      <c r="U353" s="156">
        <f>+IFERROR((R353/N353),0%)</f>
        <v>0.93842398760712697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328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10773986.300000001</v>
      </c>
      <c r="P355" s="32">
        <f t="shared" si="165"/>
        <v>547366.69999999995</v>
      </c>
      <c r="Q355" s="32">
        <f t="shared" si="165"/>
        <v>0</v>
      </c>
      <c r="R355" s="32">
        <f t="shared" si="165"/>
        <v>10499197.140000001</v>
      </c>
      <c r="S355" s="32">
        <f t="shared" si="165"/>
        <v>3496846.38</v>
      </c>
      <c r="T355" s="32">
        <f t="shared" si="165"/>
        <v>3066933.85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3350090.62</v>
      </c>
      <c r="P356" s="32">
        <f t="shared" si="166"/>
        <v>62831.379999999859</v>
      </c>
      <c r="Q356" s="32">
        <f t="shared" si="166"/>
        <v>0</v>
      </c>
      <c r="R356" s="32">
        <f t="shared" si="166"/>
        <v>3327799.96</v>
      </c>
      <c r="S356" s="32">
        <f t="shared" si="166"/>
        <v>352248</v>
      </c>
      <c r="T356" s="32">
        <f t="shared" si="166"/>
        <v>352248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289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348310.16000000003</v>
      </c>
      <c r="P359" s="21">
        <f t="shared" si="167"/>
        <v>1689.8399999999965</v>
      </c>
      <c r="Q359" s="21">
        <f t="shared" si="167"/>
        <v>0</v>
      </c>
      <c r="R359" s="21">
        <f t="shared" si="167"/>
        <v>347746.85</v>
      </c>
      <c r="S359" s="21">
        <f t="shared" si="167"/>
        <v>200148.74</v>
      </c>
      <c r="T359" s="21">
        <f t="shared" si="167"/>
        <v>200148.73</v>
      </c>
      <c r="U359" s="154">
        <f>+IFERROR((R359/N359),0%)</f>
        <v>0.99356242857142851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200000</v>
      </c>
      <c r="P360" s="231">
        <f>+N360-O360</f>
        <v>0</v>
      </c>
      <c r="Q360" s="32"/>
      <c r="R360" s="231">
        <f>IFERROR(VLOOKUP(G360,'Base Execução'!$A:$K,7,FALSE),0)</f>
        <v>199846.69</v>
      </c>
      <c r="S360" s="231">
        <f>IFERROR(VLOOKUP(G360,'Base Execução'!$A:$K,9,FALSE),0)</f>
        <v>194951.74</v>
      </c>
      <c r="T360" s="32">
        <f>IFERROR(VLOOKUP(G360,'Base Execução'!$A:$K,11,FALSE),0)</f>
        <v>194951.73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147900.16</v>
      </c>
      <c r="S361" s="231">
        <f>IFERROR(VLOOKUP(G361,'Base Execução'!$A:$K,9,FALSE),0)</f>
        <v>5197</v>
      </c>
      <c r="T361" s="32">
        <f>IFERROR(VLOOKUP(G361,'Base Execução'!$A:$K,11,FALSE),0)</f>
        <v>5197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290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5725615.4700000007</v>
      </c>
      <c r="P363" s="229">
        <f t="shared" si="168"/>
        <v>274384.5299999998</v>
      </c>
      <c r="Q363" s="22">
        <f t="shared" si="168"/>
        <v>0</v>
      </c>
      <c r="R363" s="22">
        <f t="shared" si="168"/>
        <v>5676894.1400000006</v>
      </c>
      <c r="S363" s="22">
        <f t="shared" si="168"/>
        <v>1200450.04</v>
      </c>
      <c r="T363" s="22">
        <f t="shared" si="168"/>
        <v>1169096.46</v>
      </c>
      <c r="U363" s="154">
        <f>+IFERROR((R363/N363),0%)</f>
        <v>0.94614902333333339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3313123.81</v>
      </c>
      <c r="P364" s="231">
        <f>+N364-O364</f>
        <v>226454.18999999994</v>
      </c>
      <c r="Q364" s="32"/>
      <c r="R364" s="231">
        <f>IFERROR(VLOOKUP(G364,'Base Execução'!$A:$K,7,FALSE),0)</f>
        <v>3286283.14</v>
      </c>
      <c r="S364" s="231">
        <f>IFERROR(VLOOKUP(G364,'Base Execução'!$A:$K,9,FALSE),0)</f>
        <v>853399.04000000004</v>
      </c>
      <c r="T364" s="32">
        <f>IFERROR(VLOOKUP(G364,'Base Execução'!$A:$K,11,FALSE),0)</f>
        <v>822045.46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2412491.66</v>
      </c>
      <c r="P365" s="231">
        <f>+N365-O365</f>
        <v>47930.339999999851</v>
      </c>
      <c r="Q365" s="32"/>
      <c r="R365" s="231">
        <f>IFERROR(VLOOKUP(G365,'Base Execução'!$A:$K,7,FALSE),0)</f>
        <v>2390611</v>
      </c>
      <c r="S365" s="231">
        <f>IFERROR(VLOOKUP(G365,'Base Execução'!$A:$K,9,FALSE),0)</f>
        <v>347051</v>
      </c>
      <c r="T365" s="32">
        <f>IFERROR(VLOOKUP(G365,'Base Execução'!$A:$K,11,FALSE),0)</f>
        <v>347051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4103610</v>
      </c>
      <c r="P367" s="229">
        <f>SUM(P368:P369)</f>
        <v>7500</v>
      </c>
      <c r="Q367" s="22">
        <f>SUM(Q368:Q369)</f>
        <v>0</v>
      </c>
      <c r="R367" s="22">
        <f>SUM(R368:R369)</f>
        <v>3976109.16</v>
      </c>
      <c r="S367" s="22">
        <f>SUM(S368:S369)</f>
        <v>770420.44</v>
      </c>
      <c r="T367" s="22">
        <f>SUM(T368:T369)</f>
        <v>689284.62</v>
      </c>
      <c r="U367" s="154">
        <f>+IFERROR((R367/N367),0%)</f>
        <v>0.96716194896268892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3913610</v>
      </c>
      <c r="P368" s="231">
        <f>+N368-O368</f>
        <v>0</v>
      </c>
      <c r="Q368" s="32"/>
      <c r="R368" s="231">
        <f>IFERROR(VLOOKUP(G368,'Base Execução'!$A:$K,7,FALSE),0)</f>
        <v>3786109.16</v>
      </c>
      <c r="S368" s="231">
        <f>IFERROR(VLOOKUP(G368,'Base Execução'!$A:$K,9,FALSE),0)</f>
        <v>770420.44</v>
      </c>
      <c r="T368" s="32">
        <f>IFERROR(VLOOKUP(G368,'Base Execução'!$A:$K,11,FALSE),0)</f>
        <v>689284.62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0</v>
      </c>
      <c r="T369" s="32">
        <f>IFERROR(VLOOKUP(G369,'Base Execução'!$A:$K,11,FALSE),0)</f>
        <v>0</v>
      </c>
      <c r="U369" s="155"/>
    </row>
    <row r="370" spans="1:33" s="11" customFormat="1" ht="15" customHeight="1" x14ac:dyDescent="0.2">
      <c r="A370" s="95"/>
      <c r="B370" s="424" t="s">
        <v>291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2469011.3199999998</v>
      </c>
      <c r="P371" s="229">
        <f>SUM(P372:P373)</f>
        <v>151988.68</v>
      </c>
      <c r="Q371" s="22">
        <f>SUM(Q372:Q373)</f>
        <v>0</v>
      </c>
      <c r="R371" s="22">
        <f>SUM(R372:R373)</f>
        <v>2456237.11</v>
      </c>
      <c r="S371" s="22">
        <f>SUM(S372:S373)</f>
        <v>676248.22</v>
      </c>
      <c r="T371" s="22">
        <f>SUM(T372:T373)</f>
        <v>431889.79</v>
      </c>
      <c r="U371" s="154">
        <f>+IFERROR((R371/N371),0%)</f>
        <v>0.93713739412437991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1979722.52</v>
      </c>
      <c r="P372" s="231">
        <f>+N372-O372</f>
        <v>146277.47999999998</v>
      </c>
      <c r="Q372" s="32"/>
      <c r="R372" s="231">
        <f>IFERROR(VLOOKUP(G372,'Base Execução'!$A:$K,7,FALSE),0)</f>
        <v>1966948.31</v>
      </c>
      <c r="S372" s="231">
        <f>IFERROR(VLOOKUP(G372,'Base Execução'!$A:$K,9,FALSE),0)</f>
        <v>676248.22</v>
      </c>
      <c r="T372" s="32">
        <f>IFERROR(VLOOKUP(G372,'Base Execução'!$A:$K,11,FALSE),0)</f>
        <v>431889.79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0</v>
      </c>
      <c r="T373" s="32">
        <f>IFERROR(VLOOKUP(G373,'Base Execução'!$A:$K,11,FALSE),0)</f>
        <v>0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1477529.97</v>
      </c>
      <c r="P375" s="229">
        <f t="shared" si="171"/>
        <v>174635.03000000003</v>
      </c>
      <c r="Q375" s="22">
        <f t="shared" si="171"/>
        <v>0</v>
      </c>
      <c r="R375" s="22">
        <f t="shared" si="171"/>
        <v>1370009.84</v>
      </c>
      <c r="S375" s="22">
        <f t="shared" si="171"/>
        <v>1001826.94</v>
      </c>
      <c r="T375" s="22">
        <f t="shared" si="171"/>
        <v>928762.25</v>
      </c>
      <c r="U375" s="154">
        <f>+IFERROR((R375/N375),0%)</f>
        <v>0.82922095553410224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1367529.97</v>
      </c>
      <c r="P376" s="231">
        <f>+N376-O376</f>
        <v>174635.03000000003</v>
      </c>
      <c r="Q376" s="32"/>
      <c r="R376" s="231">
        <f>IFERROR(VLOOKUP(G376,'Base Execução'!$A:$K,7,FALSE),0)</f>
        <v>1260009.8400000001</v>
      </c>
      <c r="S376" s="231">
        <f>IFERROR(VLOOKUP(G376,'Base Execução'!$A:$K,9,FALSE),0)</f>
        <v>1001826.94</v>
      </c>
      <c r="T376" s="32">
        <f>IFERROR(VLOOKUP(G376,'Base Execução'!$A:$K,11,FALSE),0)</f>
        <v>928762.25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0</v>
      </c>
      <c r="T377" s="32">
        <f>IFERROR(VLOOKUP(G377,'Base Execução'!$A:$K,11,FALSE),0)</f>
        <v>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292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8117387.3599999994</v>
      </c>
      <c r="P379" s="21">
        <f t="shared" si="172"/>
        <v>382612.64000000036</v>
      </c>
      <c r="Q379" s="22">
        <f>SUM(Q382:Q384)</f>
        <v>0</v>
      </c>
      <c r="R379" s="21">
        <f t="shared" si="172"/>
        <v>7730342.459999999</v>
      </c>
      <c r="S379" s="21">
        <f t="shared" si="172"/>
        <v>3029301.17</v>
      </c>
      <c r="T379" s="21">
        <f t="shared" si="172"/>
        <v>2466119.17</v>
      </c>
      <c r="U379" s="156">
        <f>+IFERROR((R379/N379),0%)</f>
        <v>0.90945205411764696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329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5457315.3099999996</v>
      </c>
      <c r="P382" s="32">
        <f t="shared" si="174"/>
        <v>235202.69000000041</v>
      </c>
      <c r="Q382" s="32">
        <f t="shared" si="174"/>
        <v>0</v>
      </c>
      <c r="R382" s="32">
        <f t="shared" si="174"/>
        <v>5182562.43</v>
      </c>
      <c r="S382" s="32">
        <f t="shared" si="174"/>
        <v>2508023.09</v>
      </c>
      <c r="T382" s="32">
        <f t="shared" si="174"/>
        <v>1975982.51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921146.55</v>
      </c>
      <c r="P383" s="32">
        <f t="shared" si="175"/>
        <v>78853.449999999953</v>
      </c>
      <c r="Q383" s="32">
        <f t="shared" si="175"/>
        <v>0</v>
      </c>
      <c r="R383" s="32">
        <f t="shared" si="175"/>
        <v>825641.55</v>
      </c>
      <c r="S383" s="32">
        <f t="shared" si="175"/>
        <v>2468.5500000000002</v>
      </c>
      <c r="T383" s="32">
        <f t="shared" si="175"/>
        <v>491.9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1738925.5</v>
      </c>
      <c r="P384" s="32">
        <f t="shared" si="176"/>
        <v>68556.5</v>
      </c>
      <c r="Q384" s="32">
        <f t="shared" si="176"/>
        <v>0</v>
      </c>
      <c r="R384" s="32">
        <f t="shared" si="176"/>
        <v>1722138.48</v>
      </c>
      <c r="S384" s="32">
        <f t="shared" si="176"/>
        <v>518809.53</v>
      </c>
      <c r="T384" s="32">
        <f t="shared" si="176"/>
        <v>489644.76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293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8117387.3599999994</v>
      </c>
      <c r="P387" s="22">
        <f t="shared" si="177"/>
        <v>382612.64000000036</v>
      </c>
      <c r="Q387" s="22">
        <f>SUM(Q389:Q391)</f>
        <v>0</v>
      </c>
      <c r="R387" s="22">
        <f>SUM(R388:R391)</f>
        <v>7730342.459999999</v>
      </c>
      <c r="S387" s="22">
        <f>SUM(S388:S391)</f>
        <v>3029301.17</v>
      </c>
      <c r="T387" s="22">
        <f>SUM(T388:T391)</f>
        <v>2466119.17</v>
      </c>
      <c r="U387" s="154">
        <f>+IFERROR((R387/N387),0%)</f>
        <v>0.90945205411764696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5457315.3099999996</v>
      </c>
      <c r="P389" s="231">
        <f>+N389-O389</f>
        <v>235202.69000000041</v>
      </c>
      <c r="Q389" s="32"/>
      <c r="R389" s="231">
        <f>IFERROR(VLOOKUP(G389,'Base Execução'!$A:$K,7,FALSE),0)</f>
        <v>5182562.43</v>
      </c>
      <c r="S389" s="231">
        <f>IFERROR(VLOOKUP(G389,'Base Execução'!$A:$K,9,FALSE),0)</f>
        <v>2508023.09</v>
      </c>
      <c r="T389" s="32">
        <f>IFERROR(VLOOKUP(G389,'Base Execução'!$A:$K,11,FALSE),0)</f>
        <v>1975982.51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921146.55</v>
      </c>
      <c r="P390" s="231">
        <f>+N390-O390</f>
        <v>78853.449999999953</v>
      </c>
      <c r="Q390" s="33"/>
      <c r="R390" s="231">
        <f>IFERROR(VLOOKUP(G390,'Base Execução'!$A:$K,7,FALSE),0)</f>
        <v>825641.55</v>
      </c>
      <c r="S390" s="231">
        <f>IFERROR(VLOOKUP(G390,'Base Execução'!$A:$K,9,FALSE),0)</f>
        <v>2468.5500000000002</v>
      </c>
      <c r="T390" s="32">
        <f>IFERROR(VLOOKUP(G390,'Base Execução'!$A:$K,11,FALSE),0)</f>
        <v>491.9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1738925.5</v>
      </c>
      <c r="P391" s="231">
        <f>+N391-O391</f>
        <v>68556.5</v>
      </c>
      <c r="Q391" s="33"/>
      <c r="R391" s="231">
        <f>IFERROR(VLOOKUP(G391,'Base Execução'!$A:$K,7,FALSE),0)</f>
        <v>1722138.48</v>
      </c>
      <c r="S391" s="231">
        <f>IFERROR(VLOOKUP(G391,'Base Execução'!$A:$K,9,FALSE),0)</f>
        <v>518809.53</v>
      </c>
      <c r="T391" s="32">
        <f>IFERROR(VLOOKUP(G391,'Base Execução'!$A:$K,11,FALSE),0)</f>
        <v>489644.76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294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682860.29</v>
      </c>
      <c r="P393" s="21">
        <f t="shared" si="178"/>
        <v>214488.71</v>
      </c>
      <c r="Q393" s="22">
        <f>SUM(Q397:Q398)</f>
        <v>0</v>
      </c>
      <c r="R393" s="21">
        <f t="shared" si="178"/>
        <v>646580.77</v>
      </c>
      <c r="S393" s="21">
        <f t="shared" si="178"/>
        <v>422856.16</v>
      </c>
      <c r="T393" s="21">
        <f t="shared" si="178"/>
        <v>332152.52999999997</v>
      </c>
      <c r="U393" s="156">
        <f>+IFERROR((R393/N393),0%)</f>
        <v>0.72054548453277378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330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681474.29</v>
      </c>
      <c r="P397" s="32">
        <f t="shared" si="181"/>
        <v>214488.71</v>
      </c>
      <c r="Q397" s="32">
        <f t="shared" si="181"/>
        <v>0</v>
      </c>
      <c r="R397" s="32">
        <f t="shared" si="181"/>
        <v>646580.77</v>
      </c>
      <c r="S397" s="32">
        <f t="shared" si="181"/>
        <v>422856.16</v>
      </c>
      <c r="T397" s="32">
        <f t="shared" si="181"/>
        <v>332152.52999999997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-73614</v>
      </c>
      <c r="L401" s="21">
        <f t="shared" si="183"/>
        <v>151386</v>
      </c>
      <c r="M401" s="21">
        <f t="shared" si="183"/>
        <v>0</v>
      </c>
      <c r="N401" s="21">
        <f t="shared" si="183"/>
        <v>151386</v>
      </c>
      <c r="O401" s="21">
        <f t="shared" si="183"/>
        <v>133005.51999999999</v>
      </c>
      <c r="P401" s="228">
        <f t="shared" si="183"/>
        <v>18380.48000000001</v>
      </c>
      <c r="Q401" s="21">
        <f t="shared" si="183"/>
        <v>0</v>
      </c>
      <c r="R401" s="21">
        <f t="shared" si="183"/>
        <v>130261.75999999999</v>
      </c>
      <c r="S401" s="21">
        <f t="shared" si="183"/>
        <v>83175</v>
      </c>
      <c r="T401" s="21">
        <f t="shared" si="183"/>
        <v>55511.44</v>
      </c>
      <c r="U401" s="154">
        <f>+IFERROR((R401/N401),0%)</f>
        <v>0.86046107301864105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-50000</v>
      </c>
      <c r="L402" s="32">
        <f>IFERROR(VLOOKUP(G402,'Base Zero'!$A:$L,10,FALSE),0)</f>
        <v>150000</v>
      </c>
      <c r="M402" s="32">
        <f>+L402-N402</f>
        <v>0</v>
      </c>
      <c r="N402" s="32">
        <f>IFERROR(VLOOKUP(G402,'Base Zero'!$A:$P,16,FALSE),0)</f>
        <v>150000</v>
      </c>
      <c r="O402" s="32">
        <f>IFERROR(VLOOKUP(G402,'Base Execução'!A:M,6,FALSE),0)+IFERROR(VLOOKUP(G402,'Destaque Liberado pela CPRM'!A:F,6,FALSE),0)</f>
        <v>131619.51999999999</v>
      </c>
      <c r="P402" s="231">
        <f>+N402-O402</f>
        <v>18380.48000000001</v>
      </c>
      <c r="Q402" s="32"/>
      <c r="R402" s="231">
        <f>IFERROR(VLOOKUP(G402,'Base Execução'!$A:$K,7,FALSE),0)</f>
        <v>130261.75999999999</v>
      </c>
      <c r="S402" s="231">
        <f>IFERROR(VLOOKUP(G402,'Base Execução'!$A:$K,9,FALSE),0)</f>
        <v>83175</v>
      </c>
      <c r="T402" s="32">
        <f>IFERROR(VLOOKUP(G402,'Base Execução'!$A:$K,11,FALSE),0)</f>
        <v>55511.44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307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0</v>
      </c>
      <c r="L408" s="21">
        <f t="shared" si="185"/>
        <v>275000</v>
      </c>
      <c r="M408" s="21">
        <f t="shared" si="185"/>
        <v>0</v>
      </c>
      <c r="N408" s="21">
        <f t="shared" si="185"/>
        <v>275000</v>
      </c>
      <c r="O408" s="21">
        <f t="shared" si="185"/>
        <v>167248.73000000001</v>
      </c>
      <c r="P408" s="228">
        <f t="shared" si="185"/>
        <v>107751.26999999999</v>
      </c>
      <c r="Q408" s="21">
        <f t="shared" si="185"/>
        <v>0</v>
      </c>
      <c r="R408" s="21">
        <f t="shared" si="185"/>
        <v>163867.88</v>
      </c>
      <c r="S408" s="21">
        <f t="shared" si="185"/>
        <v>140800.68</v>
      </c>
      <c r="T408" s="21">
        <f t="shared" si="185"/>
        <v>128788.28</v>
      </c>
      <c r="U408" s="154">
        <f>+IFERROR((R408/N408),0%)</f>
        <v>0.59588320000000006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0</v>
      </c>
      <c r="L409" s="32">
        <f>IFERROR(VLOOKUP(G409,'Base Zero'!$A:$L,10,FALSE),0)</f>
        <v>275000</v>
      </c>
      <c r="M409" s="32">
        <f>+L409-N409</f>
        <v>0</v>
      </c>
      <c r="N409" s="32">
        <f>IFERROR(VLOOKUP(G409,'Base Zero'!$A:$P,16,FALSE),0)</f>
        <v>275000</v>
      </c>
      <c r="O409" s="32">
        <f>IFERROR(VLOOKUP(G409,'Base Execução'!A:M,6,FALSE),0)+IFERROR(VLOOKUP(G409,'Destaque Liberado pela CPRM'!A:F,6,FALSE),0)</f>
        <v>167248.73000000001</v>
      </c>
      <c r="P409" s="231">
        <f>+N409-O409</f>
        <v>107751.26999999999</v>
      </c>
      <c r="Q409" s="32"/>
      <c r="R409" s="231">
        <f>IFERROR(VLOOKUP(G409,'Base Execução'!$A:$K,7,FALSE),0)</f>
        <v>163867.88</v>
      </c>
      <c r="S409" s="231">
        <f>IFERROR(VLOOKUP(G409,'Base Execução'!$A:$K,9,FALSE),0)</f>
        <v>140800.68</v>
      </c>
      <c r="T409" s="32">
        <f>IFERROR(VLOOKUP(G409,'Base Execução'!$A:$K,11,FALSE),0)</f>
        <v>128788.28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295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-29037</v>
      </c>
      <c r="L411" s="21">
        <f t="shared" si="186"/>
        <v>320963</v>
      </c>
      <c r="M411" s="21">
        <f t="shared" si="186"/>
        <v>0</v>
      </c>
      <c r="N411" s="21">
        <f t="shared" si="186"/>
        <v>320963</v>
      </c>
      <c r="O411" s="21">
        <f t="shared" si="186"/>
        <v>235816.15</v>
      </c>
      <c r="P411" s="228">
        <f t="shared" si="186"/>
        <v>85146.85</v>
      </c>
      <c r="Q411" s="21">
        <f t="shared" si="186"/>
        <v>0</v>
      </c>
      <c r="R411" s="21">
        <f t="shared" si="186"/>
        <v>209228.52</v>
      </c>
      <c r="S411" s="21">
        <f t="shared" si="186"/>
        <v>116698.55</v>
      </c>
      <c r="T411" s="21">
        <f t="shared" si="186"/>
        <v>83709.210000000006</v>
      </c>
      <c r="U411" s="154">
        <f>+IFERROR((R411/N411),0%)</f>
        <v>0.65187738150503327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-29037</v>
      </c>
      <c r="L412" s="32">
        <f>IFERROR(VLOOKUP(G412,'Base Zero'!$A:$L,10,FALSE),0)</f>
        <v>320963</v>
      </c>
      <c r="M412" s="32">
        <f>+L412-N412</f>
        <v>0</v>
      </c>
      <c r="N412" s="32">
        <f>IFERROR(VLOOKUP(G412,'Base Zero'!$A:$P,16,FALSE),0)</f>
        <v>320963</v>
      </c>
      <c r="O412" s="32">
        <f>IFERROR(VLOOKUP(G412,'Base Execução'!A:M,6,FALSE),0)+IFERROR(VLOOKUP(G412,'Destaque Liberado pela CPRM'!A:F,6,FALSE),0)</f>
        <v>235816.15</v>
      </c>
      <c r="P412" s="231">
        <f>+N412-O412</f>
        <v>85146.85</v>
      </c>
      <c r="Q412" s="32"/>
      <c r="R412" s="231">
        <f>IFERROR(VLOOKUP(G412,'Base Execução'!$A:$K,7,FALSE),0)</f>
        <v>209228.52</v>
      </c>
      <c r="S412" s="231">
        <f>IFERROR(VLOOKUP(G412,'Base Execução'!$A:$K,9,FALSE),0)</f>
        <v>116698.55</v>
      </c>
      <c r="T412" s="32">
        <f>IFERROR(VLOOKUP(G412,'Base Execução'!$A:$K,11,FALSE),0)</f>
        <v>83709.210000000006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0</v>
      </c>
      <c r="L414" s="21">
        <f t="shared" si="187"/>
        <v>150000</v>
      </c>
      <c r="M414" s="21">
        <f t="shared" si="187"/>
        <v>0</v>
      </c>
      <c r="N414" s="21">
        <f t="shared" si="187"/>
        <v>150000</v>
      </c>
      <c r="O414" s="21">
        <f t="shared" si="187"/>
        <v>146789.89000000001</v>
      </c>
      <c r="P414" s="228">
        <f t="shared" si="187"/>
        <v>3210.109999999986</v>
      </c>
      <c r="Q414" s="21">
        <f t="shared" si="187"/>
        <v>0</v>
      </c>
      <c r="R414" s="21">
        <f t="shared" si="187"/>
        <v>143222.60999999999</v>
      </c>
      <c r="S414" s="21">
        <f t="shared" si="187"/>
        <v>82181.929999999993</v>
      </c>
      <c r="T414" s="21">
        <f t="shared" si="187"/>
        <v>64143.6</v>
      </c>
      <c r="U414" s="154">
        <f>+IFERROR((R414/N414),0%)</f>
        <v>0.95481739999999993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0</v>
      </c>
      <c r="L415" s="32">
        <f>IFERROR(VLOOKUP(G415,'Base Zero'!$A:$L,10,FALSE),0)</f>
        <v>150000</v>
      </c>
      <c r="M415" s="32">
        <f>+L415-N415</f>
        <v>0</v>
      </c>
      <c r="N415" s="32">
        <f>IFERROR(VLOOKUP(G415,'Base Zero'!$A:$P,16,FALSE),0)</f>
        <v>150000</v>
      </c>
      <c r="O415" s="32">
        <f>IFERROR(VLOOKUP(G415,'Base Execução'!A:M,6,FALSE),0)+IFERROR(VLOOKUP(G415,'Destaque Liberado pela CPRM'!A:F,6,FALSE),0)</f>
        <v>146789.89000000001</v>
      </c>
      <c r="P415" s="231">
        <f>+N415-O415</f>
        <v>3210.109999999986</v>
      </c>
      <c r="Q415" s="32"/>
      <c r="R415" s="231">
        <f>IFERROR(VLOOKUP(G415,'Base Execução'!$A:$K,7,FALSE),0)</f>
        <v>143222.60999999999</v>
      </c>
      <c r="S415" s="231">
        <f>IFERROR(VLOOKUP(G415,'Base Execução'!$A:$K,9,FALSE),0)</f>
        <v>82181.929999999993</v>
      </c>
      <c r="T415" s="32">
        <f>IFERROR(VLOOKUP(G415,'Base Execução'!$A:$K,11,FALSE),0)</f>
        <v>64143.6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 t="shared" si="188"/>
        <v>-2042547</v>
      </c>
      <c r="L417" s="412">
        <f t="shared" si="188"/>
        <v>512067713</v>
      </c>
      <c r="M417" s="412">
        <f t="shared" si="188"/>
        <v>455881</v>
      </c>
      <c r="N417" s="412">
        <f t="shared" si="188"/>
        <v>511611832</v>
      </c>
      <c r="O417" s="412">
        <f t="shared" si="188"/>
        <v>362736385.35999995</v>
      </c>
      <c r="P417" s="412">
        <f>P393+P379+P353+P327+P291+P281+P257+P248+P224+P208+P183+P149+P139+P125+P97+P83+P65+P57+P37+P29+P9</f>
        <v>151701764.28</v>
      </c>
      <c r="Q417" s="416"/>
      <c r="R417" s="412">
        <f>R393+R379+R353+R327+R291+R281+R257+R248+R224+R208+R183+R149+R139+R125+R97+R83+R65+R57+R37+R29+R9</f>
        <v>352873040.48999989</v>
      </c>
      <c r="S417" s="412">
        <f>S393+S379+S353+S327+S291+S281+S257+S248+S224+S208+S183+S149+S139+S125+S97+S83+S65+S57+S37+S29+S9</f>
        <v>260889125.48999998</v>
      </c>
      <c r="T417" s="412">
        <f>T393+T379+T353+T327+T291+T281+T257+T248+T224+T208+T183+T149+T139+T125+T97+T83+T65+T57+T37+T29+T9</f>
        <v>250172756.92000002</v>
      </c>
      <c r="U417" s="418">
        <f>(R417/N417)</f>
        <v>0.68972806807564191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44778</v>
      </c>
    </row>
    <row r="6" spans="1:27" ht="20.100000000000001" hidden="1" customHeight="1" x14ac:dyDescent="0.2">
      <c r="B6" s="85" t="s">
        <v>21</v>
      </c>
      <c r="C6" s="90"/>
      <c r="D6" s="376"/>
      <c r="E6" s="506" t="s">
        <v>89</v>
      </c>
      <c r="F6" s="507"/>
      <c r="G6" s="507"/>
      <c r="H6" s="508"/>
    </row>
    <row r="7" spans="1:27" s="91" customFormat="1" ht="18.75" customHeight="1" thickTop="1" x14ac:dyDescent="0.2">
      <c r="A7" s="63"/>
      <c r="B7" s="514" t="s">
        <v>21</v>
      </c>
      <c r="C7" s="509" t="s">
        <v>93</v>
      </c>
      <c r="D7" s="509" t="s">
        <v>127</v>
      </c>
      <c r="E7" s="509" t="s">
        <v>94</v>
      </c>
      <c r="F7" s="509" t="s">
        <v>308</v>
      </c>
      <c r="G7" s="509" t="s">
        <v>219</v>
      </c>
      <c r="H7" s="509" t="s">
        <v>105</v>
      </c>
      <c r="I7" s="509" t="s">
        <v>95</v>
      </c>
      <c r="J7" s="509" t="s">
        <v>299</v>
      </c>
      <c r="K7" s="509" t="s">
        <v>19</v>
      </c>
      <c r="L7" s="509" t="s">
        <v>332</v>
      </c>
      <c r="M7" s="509" t="s">
        <v>20</v>
      </c>
      <c r="N7" s="509" t="s">
        <v>331</v>
      </c>
      <c r="O7" s="509" t="s">
        <v>61</v>
      </c>
      <c r="P7" s="509" t="s">
        <v>333</v>
      </c>
      <c r="Q7" s="511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2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2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34758118.769999996</v>
      </c>
      <c r="I12" s="141">
        <f>G12-H12</f>
        <v>241881.23000000417</v>
      </c>
      <c r="J12" s="375">
        <f t="shared" ref="J12:J26" si="0">IFERROR((H12/G12),0%)</f>
        <v>0.9930891077142856</v>
      </c>
      <c r="K12" s="141">
        <f>'Execução Orçamentária'!R65</f>
        <v>33929813.149999999</v>
      </c>
      <c r="L12" s="374">
        <f t="shared" ref="L12:L26" si="1">IFERROR((K12/G12),0%)</f>
        <v>0.96942323285714282</v>
      </c>
      <c r="M12" s="141">
        <f>'Execução Orçamentária'!S65</f>
        <v>13944705.67</v>
      </c>
      <c r="N12" s="374">
        <f t="shared" ref="N12:N26" si="2">IFERROR((M12/G12),0%)</f>
        <v>0.39842016200000002</v>
      </c>
      <c r="O12" s="141">
        <f>'Execução Orçamentária'!T65</f>
        <v>12032564.640000001</v>
      </c>
      <c r="P12" s="374">
        <f t="shared" ref="P12:P26" si="3">IFERROR((O12/G12),0%)</f>
        <v>0.34378756114285713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1211067.97</v>
      </c>
      <c r="I13" s="340">
        <f>G13-H13</f>
        <v>68100.030000000028</v>
      </c>
      <c r="J13" s="375">
        <f t="shared" si="0"/>
        <v>0.946762247023065</v>
      </c>
      <c r="K13" s="340">
        <f>'Execução Orçamentária'!R139</f>
        <v>910944.88</v>
      </c>
      <c r="L13" s="374">
        <f t="shared" si="1"/>
        <v>0.71213857757542398</v>
      </c>
      <c r="M13" s="340">
        <f>'Execução Orçamentária'!S139</f>
        <v>661490.82999999996</v>
      </c>
      <c r="N13" s="374">
        <f t="shared" si="2"/>
        <v>0.51712584273527795</v>
      </c>
      <c r="O13" s="340">
        <f>'Execução Orçamentária'!T139</f>
        <v>514351.09</v>
      </c>
      <c r="P13" s="374">
        <f t="shared" si="3"/>
        <v>0.40209815286186024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16401544.33</v>
      </c>
      <c r="I14" s="141">
        <f>+G14-H14</f>
        <v>179666.66999999993</v>
      </c>
      <c r="J14" s="375">
        <f t="shared" si="0"/>
        <v>0.98916444221112676</v>
      </c>
      <c r="K14" s="141">
        <f>'Execução Orçamentária'!R149</f>
        <v>16276989.859999999</v>
      </c>
      <c r="L14" s="374">
        <f t="shared" si="1"/>
        <v>0.98165265854225003</v>
      </c>
      <c r="M14" s="141">
        <f>'Execução Orçamentária'!S149</f>
        <v>814909.07</v>
      </c>
      <c r="N14" s="374">
        <f t="shared" si="2"/>
        <v>4.9146535195770683E-2</v>
      </c>
      <c r="O14" s="141">
        <f>'Execução Orçamentária'!T149</f>
        <v>706244.23</v>
      </c>
      <c r="P14" s="374">
        <f t="shared" si="3"/>
        <v>4.2593042812132359E-2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3700616.67</v>
      </c>
      <c r="I15" s="141">
        <f>+G15-H15</f>
        <v>710308.33000000007</v>
      </c>
      <c r="J15" s="375">
        <f t="shared" si="0"/>
        <v>0.83896612841977591</v>
      </c>
      <c r="K15" s="141">
        <f>'Execução Orçamentária'!R183</f>
        <v>3464563.8000000003</v>
      </c>
      <c r="L15" s="374">
        <f t="shared" si="1"/>
        <v>0.78545062543570798</v>
      </c>
      <c r="M15" s="141">
        <f>'Execução Orçamentária'!S183</f>
        <v>1168408.26</v>
      </c>
      <c r="N15" s="374">
        <f t="shared" si="2"/>
        <v>0.26488962292489671</v>
      </c>
      <c r="O15" s="141">
        <f>'Execução Orçamentária'!T183</f>
        <v>1113848.19</v>
      </c>
      <c r="P15" s="374">
        <f t="shared" si="3"/>
        <v>0.25252031943413228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4370198.1899999995</v>
      </c>
      <c r="I16" s="141">
        <f>+G16-H16</f>
        <v>29801.810000000522</v>
      </c>
      <c r="J16" s="375">
        <f t="shared" si="0"/>
        <v>0.99322686136363625</v>
      </c>
      <c r="K16" s="141">
        <f>'Execução Orçamentária'!R208</f>
        <v>4183385.09</v>
      </c>
      <c r="L16" s="374">
        <f t="shared" si="1"/>
        <v>0.95076933863636359</v>
      </c>
      <c r="M16" s="141">
        <f>'Execução Orçamentária'!S208</f>
        <v>1905182.71</v>
      </c>
      <c r="N16" s="374">
        <f t="shared" si="2"/>
        <v>0.43299607045454547</v>
      </c>
      <c r="O16" s="141">
        <f>'Execução Orçamentária'!T208</f>
        <v>1508421</v>
      </c>
      <c r="P16" s="374">
        <f t="shared" si="3"/>
        <v>0.34282295454545453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2351489.84</v>
      </c>
      <c r="I17" s="141">
        <f t="shared" ref="I17:I24" si="4">+G17-H17</f>
        <v>295065.16000000015</v>
      </c>
      <c r="J17" s="375">
        <f t="shared" si="0"/>
        <v>0.88850971923878397</v>
      </c>
      <c r="K17" s="141">
        <f>'Execução Orçamentária'!R224</f>
        <v>2350540.02</v>
      </c>
      <c r="L17" s="374">
        <f t="shared" si="1"/>
        <v>0.8881508300413179</v>
      </c>
      <c r="M17" s="141">
        <f>'Execução Orçamentária'!S224</f>
        <v>830407.58</v>
      </c>
      <c r="N17" s="374">
        <f t="shared" si="2"/>
        <v>0.31376925096965674</v>
      </c>
      <c r="O17" s="141">
        <f>'Execução Orçamentária'!T224</f>
        <v>788367.52</v>
      </c>
      <c r="P17" s="374">
        <f t="shared" si="3"/>
        <v>0.29788442711373841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8719184.790000001</v>
      </c>
      <c r="I19" s="141">
        <f t="shared" si="4"/>
        <v>102666.20999999903</v>
      </c>
      <c r="J19" s="375">
        <f t="shared" si="0"/>
        <v>0.98836228247337221</v>
      </c>
      <c r="K19" s="141">
        <f>'Execução Orçamentária'!R257</f>
        <v>7755103.9199999999</v>
      </c>
      <c r="L19" s="374">
        <f t="shared" si="1"/>
        <v>0.87907899600662032</v>
      </c>
      <c r="M19" s="141">
        <f>'Execução Orçamentária'!S257</f>
        <v>4063959.09</v>
      </c>
      <c r="N19" s="374">
        <f t="shared" si="2"/>
        <v>0.46066965878249361</v>
      </c>
      <c r="O19" s="141">
        <f>'Execução Orçamentária'!T257</f>
        <v>3553420.3400000003</v>
      </c>
      <c r="P19" s="374">
        <f t="shared" si="3"/>
        <v>0.40279759202462162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1230181.99</v>
      </c>
      <c r="I20" s="141">
        <f t="shared" si="4"/>
        <v>93095.010000000009</v>
      </c>
      <c r="J20" s="375">
        <f t="shared" si="0"/>
        <v>0.92964813111691658</v>
      </c>
      <c r="K20" s="141">
        <f>'Execução Orçamentária'!R281</f>
        <v>1194036.98</v>
      </c>
      <c r="L20" s="374">
        <f t="shared" si="1"/>
        <v>0.90233335877522236</v>
      </c>
      <c r="M20" s="141">
        <f>'Execução Orçamentária'!S281</f>
        <v>244150.46</v>
      </c>
      <c r="N20" s="374">
        <f t="shared" si="2"/>
        <v>0.18450442348805277</v>
      </c>
      <c r="O20" s="141">
        <f>'Execução Orçamentária'!T281</f>
        <v>210866.35</v>
      </c>
      <c r="P20" s="374">
        <f t="shared" si="3"/>
        <v>0.15935163234908489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170478</v>
      </c>
      <c r="G21" s="142">
        <f>'Execução Orçamentária'!N291</f>
        <v>6645911</v>
      </c>
      <c r="H21" s="142">
        <f>'Execução Orçamentária'!O291</f>
        <v>5547105.6200000001</v>
      </c>
      <c r="I21" s="141">
        <f t="shared" si="4"/>
        <v>1098805.3799999999</v>
      </c>
      <c r="J21" s="375">
        <f t="shared" si="0"/>
        <v>0.83466444555155794</v>
      </c>
      <c r="K21" s="141">
        <f>'Execução Orçamentária'!R291</f>
        <v>4425366.37</v>
      </c>
      <c r="L21" s="374">
        <f t="shared" si="1"/>
        <v>0.66587806697983165</v>
      </c>
      <c r="M21" s="141">
        <f>'Execução Orçamentária'!S291</f>
        <v>1719967.7200000002</v>
      </c>
      <c r="N21" s="374">
        <f t="shared" si="2"/>
        <v>0.25880089576884197</v>
      </c>
      <c r="O21" s="141">
        <f>'Execução Orçamentária'!T291</f>
        <v>1554895.72</v>
      </c>
      <c r="P21" s="374">
        <f t="shared" si="3"/>
        <v>0.23396276597745591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10802160.689999999</v>
      </c>
      <c r="I22" s="141">
        <f t="shared" si="4"/>
        <v>686839.31000000052</v>
      </c>
      <c r="J22" s="375">
        <f t="shared" si="0"/>
        <v>0.9402176595003916</v>
      </c>
      <c r="K22" s="141">
        <f>'Execução Orçamentária'!R327</f>
        <v>9776308.209999999</v>
      </c>
      <c r="L22" s="374">
        <f t="shared" si="1"/>
        <v>0.85092768822351805</v>
      </c>
      <c r="M22" s="141">
        <f>'Execução Orçamentária'!S327</f>
        <v>2978963.2699999996</v>
      </c>
      <c r="N22" s="374">
        <f t="shared" si="2"/>
        <v>0.25928829924275387</v>
      </c>
      <c r="O22" s="141">
        <f>'Execução Orçamentária'!T327</f>
        <v>2503008.0500000003</v>
      </c>
      <c r="P22" s="374">
        <f t="shared" si="3"/>
        <v>0.21786126294716687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14124076.920000002</v>
      </c>
      <c r="I23" s="141">
        <f t="shared" si="4"/>
        <v>610198.07999999821</v>
      </c>
      <c r="J23" s="375">
        <f t="shared" si="0"/>
        <v>0.95858648762833609</v>
      </c>
      <c r="K23" s="141">
        <f>'Execução Orçamentária'!R353</f>
        <v>13826997.100000001</v>
      </c>
      <c r="L23" s="374">
        <f t="shared" si="1"/>
        <v>0.93842398760712697</v>
      </c>
      <c r="M23" s="141">
        <f>'Execução Orçamentária'!S353</f>
        <v>3849094.38</v>
      </c>
      <c r="N23" s="374">
        <f t="shared" si="2"/>
        <v>0.26123405325338367</v>
      </c>
      <c r="O23" s="141">
        <f>'Execução Orçamentária'!T353</f>
        <v>3419181.85</v>
      </c>
      <c r="P23" s="374">
        <f t="shared" si="3"/>
        <v>0.23205633463472075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8117387.3599999994</v>
      </c>
      <c r="I24" s="141">
        <f t="shared" si="4"/>
        <v>382612.6400000006</v>
      </c>
      <c r="J24" s="375">
        <f t="shared" si="0"/>
        <v>0.95498674823529406</v>
      </c>
      <c r="K24" s="141">
        <f>'Execução Orçamentária'!R379</f>
        <v>7730342.459999999</v>
      </c>
      <c r="L24" s="374">
        <f t="shared" si="1"/>
        <v>0.90945205411764696</v>
      </c>
      <c r="M24" s="141">
        <f>'Execução Orçamentária'!S379</f>
        <v>3029301.17</v>
      </c>
      <c r="N24" s="374">
        <f t="shared" si="2"/>
        <v>0.35638837294117648</v>
      </c>
      <c r="O24" s="141">
        <f>'Execução Orçamentária'!T379</f>
        <v>2466119.17</v>
      </c>
      <c r="P24" s="374">
        <f t="shared" si="3"/>
        <v>0.29013166705882354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682860.29</v>
      </c>
      <c r="I25" s="147">
        <f>G25-H25</f>
        <v>214488.70999999996</v>
      </c>
      <c r="J25" s="390">
        <f t="shared" si="0"/>
        <v>0.76097515013668038</v>
      </c>
      <c r="K25" s="426">
        <f>'Execução Orçamentária'!R393</f>
        <v>646580.77</v>
      </c>
      <c r="L25" s="374">
        <f t="shared" si="1"/>
        <v>0.72054548453277378</v>
      </c>
      <c r="M25" s="426">
        <f>'Execução Orçamentária'!S393</f>
        <v>422856.16</v>
      </c>
      <c r="N25" s="374">
        <f t="shared" si="2"/>
        <v>0.47122820663978005</v>
      </c>
      <c r="O25" s="426">
        <f>'Execução Orçamentária'!T393</f>
        <v>332152.52999999997</v>
      </c>
      <c r="P25" s="374">
        <f t="shared" si="3"/>
        <v>0.37014866010883163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170478</v>
      </c>
      <c r="G26" s="385">
        <f t="shared" si="5"/>
        <v>119329522</v>
      </c>
      <c r="H26" s="385">
        <f t="shared" si="5"/>
        <v>112138558.19</v>
      </c>
      <c r="I26" s="385">
        <f t="shared" si="5"/>
        <v>7190963.8100000033</v>
      </c>
      <c r="J26" s="386">
        <f t="shared" si="0"/>
        <v>0.93973860207032422</v>
      </c>
      <c r="K26" s="385">
        <f>SUM(K11:K25)</f>
        <v>106593537.36999997</v>
      </c>
      <c r="L26" s="386">
        <f t="shared" si="1"/>
        <v>0.8932704630292575</v>
      </c>
      <c r="M26" s="385">
        <f>SUM(M11:M25)</f>
        <v>35755961.129999995</v>
      </c>
      <c r="N26" s="386">
        <f t="shared" si="2"/>
        <v>0.29964052927321705</v>
      </c>
      <c r="O26" s="385">
        <f>SUM(O11:O25)</f>
        <v>30826005.440000005</v>
      </c>
      <c r="P26" s="386">
        <f t="shared" si="3"/>
        <v>0.25832673192137656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44778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6" t="s">
        <v>89</v>
      </c>
      <c r="F6" s="507"/>
      <c r="G6" s="507"/>
      <c r="H6" s="508"/>
    </row>
    <row r="7" spans="1:27" s="91" customFormat="1" ht="18.75" customHeight="1" thickTop="1" x14ac:dyDescent="0.2">
      <c r="A7" s="63"/>
      <c r="B7" s="514" t="s">
        <v>21</v>
      </c>
      <c r="C7" s="509" t="s">
        <v>93</v>
      </c>
      <c r="D7" s="509" t="s">
        <v>127</v>
      </c>
      <c r="E7" s="509" t="s">
        <v>94</v>
      </c>
      <c r="F7" s="509" t="s">
        <v>309</v>
      </c>
      <c r="G7" s="509" t="s">
        <v>219</v>
      </c>
      <c r="H7" s="509" t="s">
        <v>105</v>
      </c>
      <c r="I7" s="509" t="s">
        <v>95</v>
      </c>
      <c r="J7" s="509" t="s">
        <v>299</v>
      </c>
      <c r="K7" s="509" t="s">
        <v>19</v>
      </c>
      <c r="L7" s="509" t="s">
        <v>332</v>
      </c>
      <c r="M7" s="509" t="s">
        <v>20</v>
      </c>
      <c r="N7" s="509" t="s">
        <v>331</v>
      </c>
      <c r="O7" s="509" t="s">
        <v>61</v>
      </c>
      <c r="P7" s="509" t="s">
        <v>333</v>
      </c>
      <c r="Q7" s="511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2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2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214941992.47999999</v>
      </c>
      <c r="I11" s="340">
        <f>+G11-H11</f>
        <v>128721510.52000001</v>
      </c>
      <c r="J11" s="374">
        <f>IFERROR((H11/G11),0%)</f>
        <v>0.62544317509328295</v>
      </c>
      <c r="K11" s="427">
        <f>'Execução Orçamentária'!R125</f>
        <v>210896465.56999999</v>
      </c>
      <c r="L11" s="374">
        <f>IFERROR((K11/G11),0%)</f>
        <v>0.61367140743484772</v>
      </c>
      <c r="M11" s="427">
        <f>'Execução Orçamentária'!S125</f>
        <v>199998509.93000001</v>
      </c>
      <c r="N11" s="374">
        <f>IFERROR((M11/G11),0%)</f>
        <v>0.58196028435990188</v>
      </c>
      <c r="O11" s="427">
        <f>'Execução Orçamentária'!T125</f>
        <v>196084502.37</v>
      </c>
      <c r="P11" s="374">
        <f>IFERROR((O11/G11),0%)</f>
        <v>0.57057121474432504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24314618.080000002</v>
      </c>
      <c r="I12" s="147">
        <f>+G12-H12</f>
        <v>2274488.9199999981</v>
      </c>
      <c r="J12" s="374">
        <f t="shared" ref="J12:J19" si="0">IFERROR((H12/G12),0%)</f>
        <v>0.91445786727624967</v>
      </c>
      <c r="K12" s="141">
        <f>'Execução Orçamentária'!R83</f>
        <v>24063203.580000002</v>
      </c>
      <c r="L12" s="374">
        <f t="shared" ref="L12:L19" si="1">IFERROR((K12/G12),0%)</f>
        <v>0.90500232219156518</v>
      </c>
      <c r="M12" s="141">
        <f>'Execução Orçamentária'!S83</f>
        <v>13865218.66</v>
      </c>
      <c r="N12" s="374">
        <f t="shared" ref="N12:N19" si="2">IFERROR((M12/G12),0%)</f>
        <v>0.52146236652475764</v>
      </c>
      <c r="O12" s="141">
        <f>'Execução Orçamentária'!T83</f>
        <v>11993033.68</v>
      </c>
      <c r="P12" s="374">
        <f t="shared" ref="P12:P19" si="3">IFERROR((O12/G12),0%)</f>
        <v>0.45105063814290564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780411.41</v>
      </c>
      <c r="I13" s="147">
        <f t="shared" ref="I13:I18" si="4">+G13-H13</f>
        <v>1169090.5899999999</v>
      </c>
      <c r="J13" s="374">
        <f t="shared" si="0"/>
        <v>0.40031321332319741</v>
      </c>
      <c r="K13" s="141">
        <f>'Execução Orçamentária'!R104</f>
        <v>763292.49</v>
      </c>
      <c r="L13" s="374">
        <f t="shared" si="1"/>
        <v>0.39153203741263154</v>
      </c>
      <c r="M13" s="141">
        <f>'Execução Orçamentária'!S104</f>
        <v>761411.17</v>
      </c>
      <c r="N13" s="374">
        <f t="shared" si="2"/>
        <v>0.39056701147267353</v>
      </c>
      <c r="O13" s="141">
        <f>'Execução Orçamentária'!T104</f>
        <v>761411.17</v>
      </c>
      <c r="P13" s="374">
        <f t="shared" si="3"/>
        <v>0.39056701147267353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100365.26</v>
      </c>
      <c r="I14" s="147">
        <f t="shared" si="4"/>
        <v>132811.74</v>
      </c>
      <c r="J14" s="374">
        <f t="shared" si="0"/>
        <v>0.43042521346444973</v>
      </c>
      <c r="K14" s="141">
        <f>'Execução Orçamentária'!R111</f>
        <v>98720.7</v>
      </c>
      <c r="L14" s="374">
        <f t="shared" si="1"/>
        <v>0.42337237377614428</v>
      </c>
      <c r="M14" s="141">
        <f>'Execução Orçamentária'!S111</f>
        <v>96993.06</v>
      </c>
      <c r="N14" s="374">
        <f t="shared" si="2"/>
        <v>0.41596323822675479</v>
      </c>
      <c r="O14" s="141">
        <f>'Execução Orçamentária'!T111</f>
        <v>96772.72</v>
      </c>
      <c r="P14" s="374">
        <f t="shared" si="3"/>
        <v>0.41501829082628217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8645406.3200000003</v>
      </c>
      <c r="I15" s="147">
        <f t="shared" si="4"/>
        <v>8983331.6799999997</v>
      </c>
      <c r="J15" s="374">
        <f t="shared" si="0"/>
        <v>0.49041549769473008</v>
      </c>
      <c r="K15" s="141">
        <f>'Execução Orçamentária'!R118</f>
        <v>8645406.3200000003</v>
      </c>
      <c r="L15" s="374">
        <f t="shared" si="1"/>
        <v>0.49041549769473008</v>
      </c>
      <c r="M15" s="141">
        <f>'Execução Orçamentária'!S118</f>
        <v>8609225.2300000004</v>
      </c>
      <c r="N15" s="374">
        <f t="shared" si="2"/>
        <v>0.48836310517519749</v>
      </c>
      <c r="O15" s="141">
        <f>'Execução Orçamentária'!T118</f>
        <v>8609225.2300000004</v>
      </c>
      <c r="P15" s="374">
        <f t="shared" si="3"/>
        <v>0.48836310517519749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197886.65</v>
      </c>
      <c r="I16" s="147">
        <f t="shared" si="4"/>
        <v>154981.35</v>
      </c>
      <c r="J16" s="374">
        <f t="shared" si="0"/>
        <v>0.56079511318680075</v>
      </c>
      <c r="K16" s="141">
        <f>'Execução Orçamentária'!R29</f>
        <v>197886.65</v>
      </c>
      <c r="L16" s="374">
        <f t="shared" si="1"/>
        <v>0.56079511318680075</v>
      </c>
      <c r="M16" s="141">
        <f>'Execução Orçamentária'!S29</f>
        <v>187278.5</v>
      </c>
      <c r="N16" s="374">
        <f t="shared" si="2"/>
        <v>0.53073245519571055</v>
      </c>
      <c r="O16" s="141">
        <f>'Execução Orçamentária'!T29</f>
        <v>187278.5</v>
      </c>
      <c r="P16" s="374">
        <f t="shared" si="3"/>
        <v>0.53073245519571055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1617146.9700000002</v>
      </c>
      <c r="I17" s="147">
        <f t="shared" si="4"/>
        <v>248268.0299999998</v>
      </c>
      <c r="J17" s="374">
        <f t="shared" si="0"/>
        <v>0.86691002806346051</v>
      </c>
      <c r="K17" s="141">
        <f>'Execução Orçamentária'!R9</f>
        <v>1614527.81</v>
      </c>
      <c r="L17" s="374">
        <f t="shared" si="1"/>
        <v>0.86550596516056755</v>
      </c>
      <c r="M17" s="141">
        <f>'Execução Orçamentária'!S9</f>
        <v>1614527.81</v>
      </c>
      <c r="N17" s="374">
        <f t="shared" si="2"/>
        <v>0.86550596516056755</v>
      </c>
      <c r="O17" s="141">
        <f>'Execução Orçamentária'!T9</f>
        <v>1614527.81</v>
      </c>
      <c r="P17" s="374">
        <f t="shared" si="3"/>
        <v>0.86550596516056755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3707453</v>
      </c>
      <c r="E19" s="385">
        <f t="shared" si="5"/>
        <v>392567713</v>
      </c>
      <c r="F19" s="385">
        <f t="shared" si="5"/>
        <v>285403</v>
      </c>
      <c r="G19" s="385">
        <f t="shared" si="5"/>
        <v>392282310</v>
      </c>
      <c r="H19" s="385">
        <f t="shared" si="5"/>
        <v>250597827.16999999</v>
      </c>
      <c r="I19" s="385">
        <f t="shared" si="5"/>
        <v>141684482.83000001</v>
      </c>
      <c r="J19" s="386">
        <f t="shared" si="0"/>
        <v>0.63882010680012558</v>
      </c>
      <c r="K19" s="385">
        <f>SUM(K11:K18)</f>
        <v>246279503.12</v>
      </c>
      <c r="L19" s="386">
        <f t="shared" si="1"/>
        <v>0.62781190189279756</v>
      </c>
      <c r="M19" s="385">
        <f>SUM(M11:M18)</f>
        <v>225133164.35999998</v>
      </c>
      <c r="N19" s="386">
        <f t="shared" si="2"/>
        <v>0.57390598204645016</v>
      </c>
      <c r="O19" s="385">
        <f>SUM(O11:O18)</f>
        <v>219346751.47999999</v>
      </c>
      <c r="P19" s="386">
        <f t="shared" si="3"/>
        <v>0.55915534779021769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44780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6" t="s">
        <v>89</v>
      </c>
      <c r="N6" s="507"/>
      <c r="O6" s="507"/>
      <c r="P6" s="50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17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19" t="s">
        <v>126</v>
      </c>
      <c r="K7" s="521" t="s">
        <v>93</v>
      </c>
      <c r="L7" s="523" t="s">
        <v>127</v>
      </c>
      <c r="M7" s="523" t="s">
        <v>94</v>
      </c>
      <c r="N7" s="525" t="s">
        <v>186</v>
      </c>
      <c r="O7" s="523" t="s">
        <v>194</v>
      </c>
      <c r="P7" s="525" t="s">
        <v>105</v>
      </c>
      <c r="Q7" s="523" t="s">
        <v>95</v>
      </c>
      <c r="R7" s="525" t="s">
        <v>188</v>
      </c>
      <c r="S7" s="528" t="s">
        <v>187</v>
      </c>
      <c r="T7" s="525" t="s">
        <v>193</v>
      </c>
      <c r="U7" s="528" t="s">
        <v>190</v>
      </c>
      <c r="V7" s="525" t="s">
        <v>61</v>
      </c>
      <c r="W7" s="528" t="s">
        <v>192</v>
      </c>
      <c r="X7" s="530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18"/>
      <c r="C8" s="193"/>
      <c r="D8" s="194"/>
      <c r="E8" s="193"/>
      <c r="F8" s="195"/>
      <c r="G8" s="193"/>
      <c r="H8" s="196"/>
      <c r="I8" s="196"/>
      <c r="J8" s="520"/>
      <c r="K8" s="522"/>
      <c r="L8" s="524"/>
      <c r="M8" s="524"/>
      <c r="N8" s="526"/>
      <c r="O8" s="524"/>
      <c r="P8" s="526"/>
      <c r="Q8" s="524"/>
      <c r="R8" s="526"/>
      <c r="S8" s="529"/>
      <c r="T8" s="526"/>
      <c r="U8" s="529"/>
      <c r="V8" s="526"/>
      <c r="W8" s="529"/>
      <c r="X8" s="531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18"/>
      <c r="C9" s="193"/>
      <c r="D9" s="194"/>
      <c r="E9" s="193"/>
      <c r="F9" s="195"/>
      <c r="G9" s="193"/>
      <c r="H9" s="196"/>
      <c r="I9" s="196"/>
      <c r="J9" s="520"/>
      <c r="K9" s="522"/>
      <c r="L9" s="524"/>
      <c r="M9" s="524"/>
      <c r="N9" s="527"/>
      <c r="O9" s="524"/>
      <c r="P9" s="527"/>
      <c r="Q9" s="524"/>
      <c r="R9" s="527"/>
      <c r="S9" s="529"/>
      <c r="T9" s="527"/>
      <c r="U9" s="529"/>
      <c r="V9" s="527"/>
      <c r="W9" s="529"/>
      <c r="X9" s="531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18"/>
      <c r="C10" s="193"/>
      <c r="D10" s="194"/>
      <c r="E10" s="193"/>
      <c r="F10" s="195"/>
      <c r="G10" s="193"/>
      <c r="H10" s="196"/>
      <c r="I10" s="196"/>
      <c r="J10" s="520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2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682860.29</v>
      </c>
      <c r="Q17" s="92" t="e">
        <f t="shared" ref="Q17:Q22" si="3">+O17-P17</f>
        <v>#REF!</v>
      </c>
      <c r="R17" s="92">
        <f>'Execução Orçamentária'!R393</f>
        <v>646580.77</v>
      </c>
      <c r="S17" s="243" t="e">
        <f t="shared" si="2"/>
        <v>#REF!</v>
      </c>
      <c r="T17" s="92">
        <f>'Execução Orçamentária'!S393</f>
        <v>422856.16</v>
      </c>
      <c r="U17" s="93" t="e">
        <f t="shared" si="0"/>
        <v>#REF!</v>
      </c>
      <c r="V17" s="92">
        <f>'Execução Orçamentária'!T393</f>
        <v>332152.52999999997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2022-08-08T11:46:59Z</dcterms:modified>
</cp:coreProperties>
</file>