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14835" windowHeight="1128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Execução'!$A$4:$M$79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T296" i="3" s="1"/>
  <c r="S91" i="3"/>
  <c r="S86" i="3" s="1"/>
  <c r="R91" i="3"/>
  <c r="R86" i="3" s="1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3" i="3"/>
  <c r="R295" i="3" s="1"/>
  <c r="T303" i="3"/>
  <c r="T295" i="3" s="1"/>
  <c r="S303" i="3"/>
  <c r="S295" i="3" s="1"/>
  <c r="T239" i="3"/>
  <c r="R239" i="3"/>
  <c r="R228" i="3" s="1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S375" i="3" s="1"/>
  <c r="T136" i="3"/>
  <c r="R114" i="3"/>
  <c r="R113" i="3" s="1"/>
  <c r="R121" i="3"/>
  <c r="S136" i="3"/>
  <c r="S128" i="3" s="1"/>
  <c r="T121" i="3"/>
  <c r="T107" i="3"/>
  <c r="R136" i="3"/>
  <c r="T382" i="3"/>
  <c r="T375" i="3" s="1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70" i="3" s="1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T151" i="3" s="1"/>
  <c r="S245" i="3"/>
  <c r="S336" i="3"/>
  <c r="S335" i="3" s="1"/>
  <c r="T358" i="3"/>
  <c r="T269" i="3"/>
  <c r="T260" i="3" s="1"/>
  <c r="S118" i="3"/>
  <c r="T315" i="3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R54" i="3" s="1"/>
  <c r="S145" i="3"/>
  <c r="R288" i="3"/>
  <c r="R283" i="3" s="1"/>
  <c r="S367" i="3"/>
  <c r="T27" i="3"/>
  <c r="T168" i="3"/>
  <c r="R245" i="3"/>
  <c r="T336" i="3"/>
  <c r="T385" i="3"/>
  <c r="T378" i="3" s="1"/>
  <c r="R111" i="3"/>
  <c r="T244" i="3"/>
  <c r="T264" i="3"/>
  <c r="R46" i="3"/>
  <c r="R45" i="3" s="1"/>
  <c r="R221" i="3"/>
  <c r="R329" i="3"/>
  <c r="T21" i="3"/>
  <c r="S171" i="3"/>
  <c r="S170" i="3" s="1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T283" i="3" s="1"/>
  <c r="S384" i="3"/>
  <c r="S377" i="3" s="1"/>
  <c r="S27" i="3"/>
  <c r="S168" i="3"/>
  <c r="S167" i="3" s="1"/>
  <c r="S272" i="3"/>
  <c r="S271" i="3" s="1"/>
  <c r="R336" i="3"/>
  <c r="R385" i="3"/>
  <c r="R378" i="3" s="1"/>
  <c r="S307" i="3"/>
  <c r="S329" i="3"/>
  <c r="R265" i="3"/>
  <c r="R259" i="3" s="1"/>
  <c r="S17" i="3"/>
  <c r="R118" i="3"/>
  <c r="T63" i="3"/>
  <c r="R171" i="3"/>
  <c r="R275" i="3"/>
  <c r="R274" i="3" s="1"/>
  <c r="T359" i="3"/>
  <c r="R49" i="3"/>
  <c r="R48" i="3" s="1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44" i="3" s="1"/>
  <c r="T383" i="3"/>
  <c r="R26" i="3"/>
  <c r="S81" i="3"/>
  <c r="S72" i="3" s="1"/>
  <c r="T155" i="3"/>
  <c r="S288" i="3"/>
  <c r="R384" i="3"/>
  <c r="R377" i="3" s="1"/>
  <c r="R146" i="3"/>
  <c r="R141" i="3" s="1"/>
  <c r="R168" i="3"/>
  <c r="R167" i="3" s="1"/>
  <c r="T272" i="3"/>
  <c r="T271" i="3" s="1"/>
  <c r="T328" i="3"/>
  <c r="S385" i="3"/>
  <c r="S378" i="3" s="1"/>
  <c r="T17" i="3"/>
  <c r="R311" i="3"/>
  <c r="S339" i="3"/>
  <c r="S300" i="3"/>
  <c r="S269" i="3"/>
  <c r="S260" i="3" s="1"/>
  <c r="R367" i="3"/>
  <c r="S63" i="3"/>
  <c r="T192" i="3"/>
  <c r="S275" i="3"/>
  <c r="S274" i="3" s="1"/>
  <c r="S359" i="3"/>
  <c r="R94" i="3"/>
  <c r="R93" i="3" s="1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338" i="3" s="1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S392" i="3" s="1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86" i="3"/>
  <c r="O304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3" i="3"/>
  <c r="I295" i="3" s="1"/>
  <c r="H303" i="3"/>
  <c r="L303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75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311" i="3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T167" i="3"/>
  <c r="S338" i="3"/>
  <c r="R335" i="3"/>
  <c r="S51" i="3"/>
  <c r="S151" i="3"/>
  <c r="T70" i="3"/>
  <c r="T45" i="3"/>
  <c r="T141" i="3"/>
  <c r="T335" i="3"/>
  <c r="T259" i="3"/>
  <c r="R170" i="3"/>
  <c r="S173" i="3"/>
  <c r="T176" i="3"/>
  <c r="S176" i="3"/>
  <c r="S283" i="3"/>
  <c r="T48" i="3"/>
  <c r="R72" i="3"/>
  <c r="S71" i="3"/>
  <c r="R260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I310" i="3" l="1"/>
  <c r="I293" i="3"/>
  <c r="L186" i="3"/>
  <c r="O314" i="3"/>
  <c r="T314" i="3"/>
  <c r="O200" i="3"/>
  <c r="T310" i="3"/>
  <c r="S310" i="3"/>
  <c r="N306" i="3"/>
  <c r="U306" i="3" s="1"/>
  <c r="H186" i="3"/>
  <c r="L258" i="3"/>
  <c r="J312" i="3"/>
  <c r="K312" i="3" s="1"/>
  <c r="N196" i="3"/>
  <c r="O306" i="3"/>
  <c r="S306" i="3"/>
  <c r="R310" i="3"/>
  <c r="P202" i="3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S290" i="3" l="1"/>
  <c r="M21" i="26" s="1"/>
  <c r="J306" i="3"/>
  <c r="J310" i="3"/>
  <c r="J293" i="3"/>
  <c r="U310" i="3"/>
  <c r="P200" i="3"/>
  <c r="J314" i="3"/>
  <c r="U196" i="3"/>
  <c r="P314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K294" i="3" l="1"/>
  <c r="K186" i="3"/>
  <c r="L21" i="26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81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81" i="15" s="1"/>
  <c r="P17" i="28"/>
  <c r="Q17" i="28" s="1"/>
  <c r="O411" i="3"/>
  <c r="R17" i="28"/>
  <c r="V17" i="28"/>
  <c r="W17" i="28" s="1"/>
  <c r="T411" i="3"/>
  <c r="K81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K290" i="3" l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<sst xmlns="http://schemas.openxmlformats.org/spreadsheetml/2006/main" count="1210" uniqueCount="359">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</sst>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80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0" fillId="7" borderId="54" xfId="0" applyNumberFormat="1" applyFont="1" applyFill="1" applyBorder="1" applyAlignment="1">
      <alignment horizontal="right" vertical="center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8" t="s">
        <v>68</v>
      </c>
      <c r="C1" s="478"/>
      <c r="D1" s="478"/>
      <c r="E1" s="478"/>
      <c r="F1" s="478"/>
      <c r="G1" s="478"/>
      <c r="H1" s="478"/>
      <c r="I1" s="478"/>
      <c r="J1" s="478"/>
      <c r="K1" s="47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9" t="s">
        <v>0</v>
      </c>
      <c r="C8" s="479" t="s">
        <v>1</v>
      </c>
      <c r="D8" s="479"/>
      <c r="E8" s="54" t="s">
        <v>66</v>
      </c>
      <c r="F8" s="480" t="s">
        <v>71</v>
      </c>
      <c r="G8" s="480"/>
      <c r="H8" s="480"/>
      <c r="I8" s="480"/>
      <c r="J8" s="480"/>
      <c r="K8" s="55" t="s">
        <v>9</v>
      </c>
    </row>
    <row r="9" spans="1:15" x14ac:dyDescent="0.2">
      <c r="B9" s="479"/>
      <c r="C9" s="479"/>
      <c r="D9" s="479"/>
      <c r="E9" s="48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9"/>
      <c r="C10" s="479"/>
      <c r="D10" s="479"/>
      <c r="E10" s="48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9"/>
      <c r="C11" s="479"/>
      <c r="D11" s="47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7" t="s">
        <v>10</v>
      </c>
      <c r="D101" s="47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44717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4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7" t="s">
        <v>93</v>
      </c>
      <c r="L7" s="519" t="s">
        <v>125</v>
      </c>
      <c r="M7" s="535" t="s">
        <v>94</v>
      </c>
      <c r="N7" s="537" t="s">
        <v>186</v>
      </c>
      <c r="O7" s="535" t="s">
        <v>116</v>
      </c>
      <c r="P7" s="537" t="s">
        <v>105</v>
      </c>
      <c r="Q7" s="535" t="s">
        <v>95</v>
      </c>
      <c r="R7" s="537" t="s">
        <v>188</v>
      </c>
      <c r="S7" s="540" t="s">
        <v>187</v>
      </c>
      <c r="T7" s="537" t="s">
        <v>189</v>
      </c>
      <c r="U7" s="537" t="s">
        <v>190</v>
      </c>
      <c r="V7" s="537" t="s">
        <v>191</v>
      </c>
      <c r="W7" s="537" t="s">
        <v>192</v>
      </c>
      <c r="X7" s="542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5"/>
      <c r="C8" s="208"/>
      <c r="D8" s="209"/>
      <c r="E8" s="208"/>
      <c r="F8" s="210"/>
      <c r="G8" s="208"/>
      <c r="H8" s="211"/>
      <c r="I8" s="211"/>
      <c r="J8" s="212"/>
      <c r="K8" s="548"/>
      <c r="L8" s="520"/>
      <c r="M8" s="536"/>
      <c r="N8" s="538"/>
      <c r="O8" s="536"/>
      <c r="P8" s="538"/>
      <c r="Q8" s="536"/>
      <c r="R8" s="538"/>
      <c r="S8" s="541"/>
      <c r="T8" s="538"/>
      <c r="U8" s="538"/>
      <c r="V8" s="538"/>
      <c r="W8" s="538"/>
      <c r="X8" s="542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5"/>
      <c r="C9" s="208"/>
      <c r="D9" s="209"/>
      <c r="E9" s="208"/>
      <c r="F9" s="210"/>
      <c r="G9" s="208"/>
      <c r="H9" s="211"/>
      <c r="I9" s="211"/>
      <c r="J9" s="212"/>
      <c r="K9" s="548"/>
      <c r="L9" s="520"/>
      <c r="M9" s="536"/>
      <c r="N9" s="539"/>
      <c r="O9" s="536"/>
      <c r="P9" s="539"/>
      <c r="Q9" s="536"/>
      <c r="R9" s="539"/>
      <c r="S9" s="541"/>
      <c r="T9" s="539"/>
      <c r="U9" s="539"/>
      <c r="V9" s="539"/>
      <c r="W9" s="539"/>
      <c r="X9" s="542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6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3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2"/>
      <c r="D81" s="48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V82" sqref="V82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4" t="s">
        <v>48</v>
      </c>
      <c r="B3" s="484" t="s">
        <v>62</v>
      </c>
      <c r="C3" s="484" t="s">
        <v>348</v>
      </c>
      <c r="D3" s="484"/>
      <c r="E3" s="484" t="s">
        <v>349</v>
      </c>
      <c r="F3" s="486" t="s">
        <v>86</v>
      </c>
      <c r="G3" s="486" t="s">
        <v>350</v>
      </c>
      <c r="H3" s="486" t="s">
        <v>87</v>
      </c>
      <c r="I3" s="486" t="s">
        <v>351</v>
      </c>
      <c r="J3" s="486" t="s">
        <v>2</v>
      </c>
      <c r="K3" s="486" t="s">
        <v>352</v>
      </c>
      <c r="L3" s="486" t="s">
        <v>88</v>
      </c>
      <c r="M3" s="486" t="s">
        <v>4</v>
      </c>
      <c r="N3" s="486" t="s">
        <v>5</v>
      </c>
      <c r="O3" s="486" t="s">
        <v>12</v>
      </c>
      <c r="P3" s="486" t="s">
        <v>3</v>
      </c>
    </row>
    <row r="4" spans="1:17" s="445" customFormat="1" ht="32.1" customHeight="1" x14ac:dyDescent="0.2">
      <c r="A4" s="485"/>
      <c r="B4" s="484"/>
      <c r="C4" s="484"/>
      <c r="D4" s="484"/>
      <c r="E4" s="484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4">
        <v>500000</v>
      </c>
      <c r="G5" s="474">
        <v>0</v>
      </c>
      <c r="H5" s="474">
        <v>500000</v>
      </c>
      <c r="I5" s="474">
        <v>764597</v>
      </c>
      <c r="J5" s="474">
        <v>1264597</v>
      </c>
      <c r="K5" s="474">
        <v>0</v>
      </c>
      <c r="L5" s="474">
        <v>1264597</v>
      </c>
      <c r="M5" s="474">
        <v>23714.909999999902</v>
      </c>
      <c r="N5" s="474">
        <v>23714.91</v>
      </c>
      <c r="O5" s="474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5">
        <v>50000</v>
      </c>
      <c r="G6" s="475">
        <v>0</v>
      </c>
      <c r="H6" s="475">
        <v>50000</v>
      </c>
      <c r="I6" s="475">
        <v>240818</v>
      </c>
      <c r="J6" s="475">
        <v>290818</v>
      </c>
      <c r="K6" s="475">
        <v>0</v>
      </c>
      <c r="L6" s="475">
        <v>290818</v>
      </c>
      <c r="M6" s="475">
        <v>34201.32</v>
      </c>
      <c r="N6" s="475">
        <v>34201.32</v>
      </c>
      <c r="O6" s="475"/>
      <c r="P6" s="448">
        <f t="shared" ref="P6:P94" si="1">+L6-O6</f>
        <v>290818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4">
        <v>300000</v>
      </c>
      <c r="G7" s="474">
        <v>0</v>
      </c>
      <c r="H7" s="474">
        <v>300000</v>
      </c>
      <c r="I7" s="474">
        <v>0</v>
      </c>
      <c r="J7" s="474">
        <v>300000</v>
      </c>
      <c r="K7" s="474">
        <v>0</v>
      </c>
      <c r="L7" s="474">
        <v>300000</v>
      </c>
      <c r="M7" s="474">
        <v>278026.40000000002</v>
      </c>
      <c r="N7" s="474">
        <v>278026.40000000002</v>
      </c>
      <c r="O7" s="47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5">
        <v>10000</v>
      </c>
      <c r="G8" s="475">
        <v>0</v>
      </c>
      <c r="H8" s="475">
        <v>10000</v>
      </c>
      <c r="I8" s="475">
        <v>0</v>
      </c>
      <c r="J8" s="475">
        <v>10000</v>
      </c>
      <c r="K8" s="475">
        <v>0</v>
      </c>
      <c r="L8" s="475">
        <v>10000</v>
      </c>
      <c r="M8" s="475">
        <v>10000</v>
      </c>
      <c r="N8" s="475">
        <v>10000</v>
      </c>
      <c r="O8" s="47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74">
        <v>1000000</v>
      </c>
      <c r="G9" s="474">
        <v>0</v>
      </c>
      <c r="H9" s="474">
        <v>1000000</v>
      </c>
      <c r="I9" s="474">
        <v>-764597</v>
      </c>
      <c r="J9" s="474">
        <v>235403</v>
      </c>
      <c r="K9" s="474">
        <v>0</v>
      </c>
      <c r="L9" s="474">
        <v>235403</v>
      </c>
      <c r="M9" s="474">
        <v>235403</v>
      </c>
      <c r="N9" s="474">
        <v>0</v>
      </c>
      <c r="O9" s="474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5">
        <v>50000</v>
      </c>
      <c r="G10" s="475">
        <v>0</v>
      </c>
      <c r="H10" s="475">
        <v>50000</v>
      </c>
      <c r="I10" s="475">
        <v>0</v>
      </c>
      <c r="J10" s="475">
        <v>50000</v>
      </c>
      <c r="K10" s="475">
        <v>0</v>
      </c>
      <c r="L10" s="475">
        <v>50000</v>
      </c>
      <c r="M10" s="475">
        <v>50000</v>
      </c>
      <c r="N10" s="475">
        <v>0</v>
      </c>
      <c r="O10" s="47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74">
        <v>60000</v>
      </c>
      <c r="G11" s="474">
        <v>0</v>
      </c>
      <c r="H11" s="474">
        <v>60000</v>
      </c>
      <c r="I11" s="474">
        <v>0</v>
      </c>
      <c r="J11" s="474">
        <v>60000</v>
      </c>
      <c r="K11" s="474">
        <v>0</v>
      </c>
      <c r="L11" s="474">
        <v>60000</v>
      </c>
      <c r="M11" s="474">
        <v>60000</v>
      </c>
      <c r="N11" s="474">
        <v>60000</v>
      </c>
      <c r="O11" s="47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5">
        <v>30000</v>
      </c>
      <c r="G12" s="475">
        <v>0</v>
      </c>
      <c r="H12" s="475">
        <v>30000</v>
      </c>
      <c r="I12" s="475">
        <v>0</v>
      </c>
      <c r="J12" s="475">
        <v>30000</v>
      </c>
      <c r="K12" s="475">
        <v>0</v>
      </c>
      <c r="L12" s="475">
        <v>30000</v>
      </c>
      <c r="M12" s="475">
        <v>2873.19</v>
      </c>
      <c r="N12" s="475">
        <v>2873.19</v>
      </c>
      <c r="O12" s="47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74">
        <v>25000</v>
      </c>
      <c r="G13" s="474">
        <v>0</v>
      </c>
      <c r="H13" s="474">
        <v>25000</v>
      </c>
      <c r="I13" s="474">
        <v>0</v>
      </c>
      <c r="J13" s="474">
        <v>25000</v>
      </c>
      <c r="K13" s="474">
        <v>0</v>
      </c>
      <c r="L13" s="474">
        <v>25000</v>
      </c>
      <c r="M13" s="474">
        <v>25000</v>
      </c>
      <c r="N13" s="474">
        <v>25000</v>
      </c>
      <c r="O13" s="47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5">
        <v>50000</v>
      </c>
      <c r="G14" s="475">
        <v>0</v>
      </c>
      <c r="H14" s="475">
        <v>50000</v>
      </c>
      <c r="I14" s="475">
        <v>0</v>
      </c>
      <c r="J14" s="475">
        <v>50000</v>
      </c>
      <c r="K14" s="475">
        <v>0</v>
      </c>
      <c r="L14" s="475">
        <v>50000</v>
      </c>
      <c r="M14" s="475">
        <v>24442.13</v>
      </c>
      <c r="N14" s="475">
        <v>24442.13</v>
      </c>
      <c r="O14" s="47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74">
        <v>70000</v>
      </c>
      <c r="G15" s="474">
        <v>0</v>
      </c>
      <c r="H15" s="474">
        <v>70000</v>
      </c>
      <c r="I15" s="474">
        <v>0</v>
      </c>
      <c r="J15" s="474">
        <v>70000</v>
      </c>
      <c r="K15" s="474">
        <v>0</v>
      </c>
      <c r="L15" s="474">
        <v>70000</v>
      </c>
      <c r="M15" s="474">
        <v>119.919999999998</v>
      </c>
      <c r="N15" s="474">
        <v>119.92</v>
      </c>
      <c r="O15" s="47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5">
        <v>322868</v>
      </c>
      <c r="G16" s="475">
        <v>0</v>
      </c>
      <c r="H16" s="475">
        <v>322868</v>
      </c>
      <c r="I16" s="475">
        <v>0</v>
      </c>
      <c r="J16" s="475">
        <v>322868</v>
      </c>
      <c r="K16" s="475">
        <v>0</v>
      </c>
      <c r="L16" s="475">
        <v>322868</v>
      </c>
      <c r="M16" s="475">
        <v>187997.64</v>
      </c>
      <c r="N16" s="475">
        <v>187997.64</v>
      </c>
      <c r="O16" s="475"/>
      <c r="P16" s="448">
        <f t="shared" si="1"/>
        <v>322868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74">
        <v>343663503</v>
      </c>
      <c r="G17" s="474">
        <v>-3436635</v>
      </c>
      <c r="H17" s="474">
        <v>340226868</v>
      </c>
      <c r="I17" s="474">
        <v>3436635</v>
      </c>
      <c r="J17" s="474">
        <v>343663503</v>
      </c>
      <c r="K17" s="474">
        <v>0</v>
      </c>
      <c r="L17" s="474">
        <v>343663503</v>
      </c>
      <c r="M17" s="474">
        <v>187242154.24000001</v>
      </c>
      <c r="N17" s="474">
        <v>187242154.24000001</v>
      </c>
      <c r="O17" s="474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5">
        <v>25591140</v>
      </c>
      <c r="G18" s="475">
        <v>0</v>
      </c>
      <c r="H18" s="475">
        <v>25591140</v>
      </c>
      <c r="I18" s="475">
        <v>0</v>
      </c>
      <c r="J18" s="475">
        <v>25591140</v>
      </c>
      <c r="K18" s="475">
        <v>0</v>
      </c>
      <c r="L18" s="475">
        <v>25591140</v>
      </c>
      <c r="M18" s="475">
        <v>14204524.029999999</v>
      </c>
      <c r="N18" s="475">
        <v>14204524.029999999</v>
      </c>
      <c r="O18" s="475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65">
        <v>174225</v>
      </c>
      <c r="C19" s="466">
        <v>3</v>
      </c>
      <c r="D19" s="467" t="s">
        <v>8</v>
      </c>
      <c r="E19" s="466">
        <v>151</v>
      </c>
      <c r="F19" s="474">
        <v>997967</v>
      </c>
      <c r="G19" s="474">
        <v>0</v>
      </c>
      <c r="H19" s="474">
        <v>997967</v>
      </c>
      <c r="I19" s="474">
        <v>0</v>
      </c>
      <c r="J19" s="474">
        <v>997967</v>
      </c>
      <c r="K19" s="474">
        <v>0</v>
      </c>
      <c r="L19" s="474">
        <v>997967</v>
      </c>
      <c r="M19" s="474">
        <v>618511.07999999996</v>
      </c>
      <c r="N19" s="474">
        <v>618511.07999999996</v>
      </c>
      <c r="O19" s="474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69">
        <v>174228</v>
      </c>
      <c r="C20" s="470">
        <v>3</v>
      </c>
      <c r="D20" s="471" t="s">
        <v>8</v>
      </c>
      <c r="E20" s="470">
        <v>142</v>
      </c>
      <c r="F20" s="475">
        <v>400000</v>
      </c>
      <c r="G20" s="475">
        <v>0</v>
      </c>
      <c r="H20" s="475">
        <v>400000</v>
      </c>
      <c r="I20" s="475">
        <v>-350000</v>
      </c>
      <c r="J20" s="475">
        <v>50000</v>
      </c>
      <c r="K20" s="475">
        <v>0</v>
      </c>
      <c r="L20" s="475">
        <v>50000</v>
      </c>
      <c r="M20" s="475">
        <v>50000</v>
      </c>
      <c r="N20" s="475">
        <v>0</v>
      </c>
      <c r="O20" s="475">
        <v>50000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174229-3-142</v>
      </c>
      <c r="B21" s="465">
        <v>174229</v>
      </c>
      <c r="C21" s="466">
        <v>3</v>
      </c>
      <c r="D21" s="467" t="s">
        <v>8</v>
      </c>
      <c r="E21" s="466">
        <v>142</v>
      </c>
      <c r="F21" s="474">
        <v>400000</v>
      </c>
      <c r="G21" s="474">
        <v>0</v>
      </c>
      <c r="H21" s="474">
        <v>400000</v>
      </c>
      <c r="I21" s="474">
        <v>-350000</v>
      </c>
      <c r="J21" s="474">
        <v>50000</v>
      </c>
      <c r="K21" s="474">
        <v>0</v>
      </c>
      <c r="L21" s="474">
        <v>50000</v>
      </c>
      <c r="M21" s="474">
        <v>50000</v>
      </c>
      <c r="N21" s="474">
        <v>0</v>
      </c>
      <c r="O21" s="474">
        <v>50000</v>
      </c>
      <c r="P21" s="449">
        <f>+L21-O21</f>
        <v>0</v>
      </c>
    </row>
    <row r="22" spans="1:16" ht="17.100000000000001" customHeight="1" x14ac:dyDescent="0.2">
      <c r="A22" s="446" t="str">
        <f t="shared" si="0"/>
        <v>174230-3-142</v>
      </c>
      <c r="B22" s="469">
        <v>174230</v>
      </c>
      <c r="C22" s="470">
        <v>3</v>
      </c>
      <c r="D22" s="471" t="s">
        <v>8</v>
      </c>
      <c r="E22" s="470">
        <v>142</v>
      </c>
      <c r="F22" s="475">
        <v>300000</v>
      </c>
      <c r="G22" s="475">
        <v>0</v>
      </c>
      <c r="H22" s="475">
        <v>300000</v>
      </c>
      <c r="I22" s="475">
        <v>100000</v>
      </c>
      <c r="J22" s="475">
        <v>400000</v>
      </c>
      <c r="K22" s="475">
        <v>0</v>
      </c>
      <c r="L22" s="475">
        <v>400000</v>
      </c>
      <c r="M22" s="475">
        <v>208368.17</v>
      </c>
      <c r="N22" s="475">
        <v>208368.17</v>
      </c>
      <c r="O22" s="475"/>
      <c r="P22" s="448">
        <f t="shared" si="1"/>
        <v>400000</v>
      </c>
    </row>
    <row r="23" spans="1:16" ht="17.100000000000001" customHeight="1" x14ac:dyDescent="0.2">
      <c r="A23" s="446" t="str">
        <f t="shared" si="0"/>
        <v>174231-3-142</v>
      </c>
      <c r="B23" s="465">
        <v>174231</v>
      </c>
      <c r="C23" s="466">
        <v>3</v>
      </c>
      <c r="D23" s="467" t="s">
        <v>8</v>
      </c>
      <c r="E23" s="466">
        <v>142</v>
      </c>
      <c r="F23" s="474">
        <v>400000</v>
      </c>
      <c r="G23" s="474">
        <v>0</v>
      </c>
      <c r="H23" s="474">
        <v>400000</v>
      </c>
      <c r="I23" s="474">
        <v>100000</v>
      </c>
      <c r="J23" s="474">
        <v>500000</v>
      </c>
      <c r="K23" s="474">
        <v>0</v>
      </c>
      <c r="L23" s="474">
        <v>500000</v>
      </c>
      <c r="M23" s="474">
        <v>202559.17</v>
      </c>
      <c r="N23" s="474">
        <v>202559.17</v>
      </c>
      <c r="O23" s="474"/>
      <c r="P23" s="449">
        <f>+L23-O23</f>
        <v>500000</v>
      </c>
    </row>
    <row r="24" spans="1:16" ht="17.100000000000001" customHeight="1" x14ac:dyDescent="0.2">
      <c r="A24" s="446" t="str">
        <f t="shared" si="0"/>
        <v>174231-4-142</v>
      </c>
      <c r="B24" s="469">
        <v>174231</v>
      </c>
      <c r="C24" s="470">
        <v>4</v>
      </c>
      <c r="D24" s="471" t="s">
        <v>7</v>
      </c>
      <c r="E24" s="470">
        <v>142</v>
      </c>
      <c r="F24" s="475">
        <v>200000</v>
      </c>
      <c r="G24" s="475">
        <v>0</v>
      </c>
      <c r="H24" s="475">
        <v>200000</v>
      </c>
      <c r="I24" s="475">
        <v>500000</v>
      </c>
      <c r="J24" s="475">
        <v>700000</v>
      </c>
      <c r="K24" s="475">
        <v>0</v>
      </c>
      <c r="L24" s="475">
        <v>700000</v>
      </c>
      <c r="M24" s="475">
        <v>418789.94</v>
      </c>
      <c r="N24" s="475">
        <v>0.94</v>
      </c>
      <c r="O24" s="475">
        <v>418789</v>
      </c>
      <c r="P24" s="448">
        <f t="shared" si="1"/>
        <v>281211</v>
      </c>
    </row>
    <row r="25" spans="1:16" ht="17.100000000000001" customHeight="1" x14ac:dyDescent="0.2">
      <c r="A25" s="446" t="str">
        <f t="shared" si="0"/>
        <v>174232-3-100</v>
      </c>
      <c r="B25" s="465">
        <v>174232</v>
      </c>
      <c r="C25" s="466">
        <v>3</v>
      </c>
      <c r="D25" s="467" t="s">
        <v>8</v>
      </c>
      <c r="E25" s="466">
        <v>100</v>
      </c>
      <c r="F25" s="474"/>
      <c r="G25" s="474">
        <v>4950000</v>
      </c>
      <c r="H25" s="474">
        <v>4950000</v>
      </c>
      <c r="I25" s="474">
        <v>0</v>
      </c>
      <c r="J25" s="474">
        <v>4950000</v>
      </c>
      <c r="K25" s="474">
        <v>0</v>
      </c>
      <c r="L25" s="474">
        <v>4950000</v>
      </c>
      <c r="M25" s="474">
        <v>4950000</v>
      </c>
      <c r="N25" s="474">
        <v>4950000</v>
      </c>
      <c r="O25" s="474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69">
        <v>174232</v>
      </c>
      <c r="C26" s="470">
        <v>3</v>
      </c>
      <c r="D26" s="471" t="s">
        <v>8</v>
      </c>
      <c r="E26" s="470">
        <v>142</v>
      </c>
      <c r="F26" s="475">
        <v>33000000</v>
      </c>
      <c r="G26" s="475">
        <v>-4950000</v>
      </c>
      <c r="H26" s="475">
        <v>28050000</v>
      </c>
      <c r="I26" s="475">
        <v>1200000</v>
      </c>
      <c r="J26" s="475">
        <v>29250000</v>
      </c>
      <c r="K26" s="475">
        <v>0</v>
      </c>
      <c r="L26" s="475">
        <v>29250000</v>
      </c>
      <c r="M26" s="475">
        <v>4378749.96</v>
      </c>
      <c r="N26" s="475">
        <v>534924.27</v>
      </c>
      <c r="O26" s="475">
        <v>3523511</v>
      </c>
      <c r="P26" s="448">
        <f t="shared" si="1"/>
        <v>25726489</v>
      </c>
    </row>
    <row r="27" spans="1:16" ht="17.100000000000001" customHeight="1" x14ac:dyDescent="0.2">
      <c r="A27" s="446" t="str">
        <f t="shared" si="0"/>
        <v>174232-4-142</v>
      </c>
      <c r="B27" s="465">
        <v>174232</v>
      </c>
      <c r="C27" s="466">
        <v>4</v>
      </c>
      <c r="D27" s="467" t="s">
        <v>7</v>
      </c>
      <c r="E27" s="466">
        <v>142</v>
      </c>
      <c r="F27" s="474">
        <v>2000000</v>
      </c>
      <c r="G27" s="474">
        <v>0</v>
      </c>
      <c r="H27" s="474">
        <v>2000000</v>
      </c>
      <c r="I27" s="474">
        <v>-1200000</v>
      </c>
      <c r="J27" s="474">
        <v>800000</v>
      </c>
      <c r="K27" s="474">
        <v>0</v>
      </c>
      <c r="L27" s="474">
        <v>800000</v>
      </c>
      <c r="M27" s="474">
        <v>717145.11</v>
      </c>
      <c r="N27" s="474">
        <v>117145.11</v>
      </c>
      <c r="O27" s="474">
        <v>600000</v>
      </c>
      <c r="P27" s="449">
        <f>+L27-O27</f>
        <v>200000</v>
      </c>
    </row>
    <row r="28" spans="1:16" ht="17.100000000000001" customHeight="1" x14ac:dyDescent="0.2">
      <c r="A28" s="446" t="str">
        <f t="shared" si="0"/>
        <v>174233-3-142</v>
      </c>
      <c r="B28" s="469">
        <v>174233</v>
      </c>
      <c r="C28" s="470">
        <v>3</v>
      </c>
      <c r="D28" s="471" t="s">
        <v>8</v>
      </c>
      <c r="E28" s="470">
        <v>142</v>
      </c>
      <c r="F28" s="475">
        <v>200000</v>
      </c>
      <c r="G28" s="475">
        <v>0</v>
      </c>
      <c r="H28" s="475">
        <v>200000</v>
      </c>
      <c r="I28" s="475">
        <v>0</v>
      </c>
      <c r="J28" s="475">
        <v>200000</v>
      </c>
      <c r="K28" s="475">
        <v>0</v>
      </c>
      <c r="L28" s="475">
        <v>200000</v>
      </c>
      <c r="M28" s="475">
        <v>104.510000000009</v>
      </c>
      <c r="N28" s="475">
        <v>104.51</v>
      </c>
      <c r="O28" s="475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65">
        <v>174233</v>
      </c>
      <c r="C29" s="466">
        <v>4</v>
      </c>
      <c r="D29" s="467" t="s">
        <v>7</v>
      </c>
      <c r="E29" s="466">
        <v>142</v>
      </c>
      <c r="F29" s="474">
        <v>150000</v>
      </c>
      <c r="G29" s="474">
        <v>0</v>
      </c>
      <c r="H29" s="474">
        <v>150000</v>
      </c>
      <c r="I29" s="474">
        <v>0</v>
      </c>
      <c r="J29" s="474">
        <v>150000</v>
      </c>
      <c r="K29" s="474">
        <v>0</v>
      </c>
      <c r="L29" s="474">
        <v>150000</v>
      </c>
      <c r="M29" s="474">
        <v>10938.84</v>
      </c>
      <c r="N29" s="474">
        <v>10938.84</v>
      </c>
      <c r="O29" s="474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69">
        <v>174234</v>
      </c>
      <c r="C30" s="470">
        <v>3</v>
      </c>
      <c r="D30" s="471" t="s">
        <v>8</v>
      </c>
      <c r="E30" s="470">
        <v>142</v>
      </c>
      <c r="F30" s="475">
        <v>1000000</v>
      </c>
      <c r="G30" s="475">
        <v>0</v>
      </c>
      <c r="H30" s="475">
        <v>1000000</v>
      </c>
      <c r="I30" s="475">
        <v>-200000</v>
      </c>
      <c r="J30" s="475">
        <v>800000</v>
      </c>
      <c r="K30" s="475">
        <v>0</v>
      </c>
      <c r="L30" s="475">
        <v>800000</v>
      </c>
      <c r="M30" s="475">
        <v>440066.78</v>
      </c>
      <c r="N30" s="475">
        <v>440066.78</v>
      </c>
      <c r="O30" s="475">
        <v>0</v>
      </c>
      <c r="P30" s="448">
        <f t="shared" si="1"/>
        <v>800000</v>
      </c>
    </row>
    <row r="31" spans="1:16" ht="17.100000000000001" customHeight="1" x14ac:dyDescent="0.2">
      <c r="A31" s="446" t="str">
        <f t="shared" si="0"/>
        <v>174234-4-142</v>
      </c>
      <c r="B31" s="465">
        <v>174234</v>
      </c>
      <c r="C31" s="466">
        <v>4</v>
      </c>
      <c r="D31" s="467" t="s">
        <v>7</v>
      </c>
      <c r="E31" s="466">
        <v>142</v>
      </c>
      <c r="F31" s="474">
        <v>300000</v>
      </c>
      <c r="G31" s="474">
        <v>0</v>
      </c>
      <c r="H31" s="474">
        <v>300000</v>
      </c>
      <c r="I31" s="474">
        <v>700000</v>
      </c>
      <c r="J31" s="474">
        <v>1000000</v>
      </c>
      <c r="K31" s="474">
        <v>0</v>
      </c>
      <c r="L31" s="474">
        <v>1000000</v>
      </c>
      <c r="M31" s="474">
        <v>196021</v>
      </c>
      <c r="N31" s="474">
        <v>196021</v>
      </c>
      <c r="O31" s="474"/>
      <c r="P31" s="449">
        <f>+L31-O31</f>
        <v>1000000</v>
      </c>
    </row>
    <row r="32" spans="1:16" ht="17.100000000000001" customHeight="1" x14ac:dyDescent="0.2">
      <c r="A32" s="446" t="str">
        <f t="shared" si="0"/>
        <v>174235-3-142</v>
      </c>
      <c r="B32" s="469">
        <v>174235</v>
      </c>
      <c r="C32" s="470">
        <v>3</v>
      </c>
      <c r="D32" s="471" t="s">
        <v>8</v>
      </c>
      <c r="E32" s="470">
        <v>142</v>
      </c>
      <c r="F32" s="475">
        <v>200000</v>
      </c>
      <c r="G32" s="475">
        <v>0</v>
      </c>
      <c r="H32" s="475">
        <v>200000</v>
      </c>
      <c r="I32" s="475">
        <v>0</v>
      </c>
      <c r="J32" s="475">
        <v>200000</v>
      </c>
      <c r="K32" s="475">
        <v>0</v>
      </c>
      <c r="L32" s="475">
        <v>200000</v>
      </c>
      <c r="M32" s="475">
        <v>133910.95000000001</v>
      </c>
      <c r="N32" s="475">
        <v>133910.95000000001</v>
      </c>
      <c r="O32" s="475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65">
        <v>174236</v>
      </c>
      <c r="C33" s="466">
        <v>3</v>
      </c>
      <c r="D33" s="467" t="s">
        <v>8</v>
      </c>
      <c r="E33" s="466">
        <v>142</v>
      </c>
      <c r="F33" s="474">
        <v>200000</v>
      </c>
      <c r="G33" s="474">
        <v>0</v>
      </c>
      <c r="H33" s="474">
        <v>200000</v>
      </c>
      <c r="I33" s="474">
        <v>0</v>
      </c>
      <c r="J33" s="474">
        <v>200000</v>
      </c>
      <c r="K33" s="474">
        <v>0</v>
      </c>
      <c r="L33" s="474">
        <v>200000</v>
      </c>
      <c r="M33" s="474">
        <v>136542.71</v>
      </c>
      <c r="N33" s="474">
        <v>86542.71</v>
      </c>
      <c r="O33" s="474">
        <v>50000</v>
      </c>
      <c r="P33" s="449">
        <f>+L33-O33</f>
        <v>150000</v>
      </c>
    </row>
    <row r="34" spans="1:16" ht="17.100000000000001" customHeight="1" x14ac:dyDescent="0.2">
      <c r="A34" s="446" t="str">
        <f t="shared" si="0"/>
        <v>174236-4-142</v>
      </c>
      <c r="B34" s="469">
        <v>174236</v>
      </c>
      <c r="C34" s="470">
        <v>4</v>
      </c>
      <c r="D34" s="471" t="s">
        <v>7</v>
      </c>
      <c r="E34" s="470">
        <v>142</v>
      </c>
      <c r="F34" s="475">
        <v>25000</v>
      </c>
      <c r="G34" s="475">
        <v>0</v>
      </c>
      <c r="H34" s="475">
        <v>25000</v>
      </c>
      <c r="I34" s="475">
        <v>0</v>
      </c>
      <c r="J34" s="475">
        <v>25000</v>
      </c>
      <c r="K34" s="475">
        <v>0</v>
      </c>
      <c r="L34" s="475">
        <v>25000</v>
      </c>
      <c r="M34" s="475">
        <v>23614</v>
      </c>
      <c r="N34" s="475">
        <v>0</v>
      </c>
      <c r="O34" s="475">
        <v>23614</v>
      </c>
      <c r="P34" s="448">
        <f t="shared" si="1"/>
        <v>1386</v>
      </c>
    </row>
    <row r="35" spans="1:16" ht="17.100000000000001" customHeight="1" x14ac:dyDescent="0.2">
      <c r="A35" s="446" t="str">
        <f t="shared" si="0"/>
        <v>174237-3-142</v>
      </c>
      <c r="B35" s="465">
        <v>174237</v>
      </c>
      <c r="C35" s="466">
        <v>3</v>
      </c>
      <c r="D35" s="467" t="s">
        <v>8</v>
      </c>
      <c r="E35" s="466">
        <v>142</v>
      </c>
      <c r="F35" s="474">
        <v>1305000</v>
      </c>
      <c r="G35" s="474">
        <v>0</v>
      </c>
      <c r="H35" s="474">
        <v>1305000</v>
      </c>
      <c r="I35" s="474">
        <v>0</v>
      </c>
      <c r="J35" s="474">
        <v>1305000</v>
      </c>
      <c r="K35" s="474">
        <v>0</v>
      </c>
      <c r="L35" s="474">
        <v>1305000</v>
      </c>
      <c r="M35" s="474">
        <v>995438.22</v>
      </c>
      <c r="N35" s="474">
        <v>550906.22</v>
      </c>
      <c r="O35" s="474">
        <v>170832</v>
      </c>
      <c r="P35" s="449">
        <f>+L35-O35</f>
        <v>1134168</v>
      </c>
    </row>
    <row r="36" spans="1:16" ht="17.100000000000001" customHeight="1" x14ac:dyDescent="0.2">
      <c r="A36" s="446" t="str">
        <f t="shared" si="0"/>
        <v>174237-4-142</v>
      </c>
      <c r="B36" s="469">
        <v>174237</v>
      </c>
      <c r="C36" s="470">
        <v>4</v>
      </c>
      <c r="D36" s="471" t="s">
        <v>7</v>
      </c>
      <c r="E36" s="470">
        <v>142</v>
      </c>
      <c r="F36" s="475">
        <v>145000</v>
      </c>
      <c r="G36" s="475">
        <v>0</v>
      </c>
      <c r="H36" s="475">
        <v>145000</v>
      </c>
      <c r="I36" s="475">
        <v>0</v>
      </c>
      <c r="J36" s="475">
        <v>145000</v>
      </c>
      <c r="K36" s="475">
        <v>0</v>
      </c>
      <c r="L36" s="475">
        <v>145000</v>
      </c>
      <c r="M36" s="475">
        <v>145000</v>
      </c>
      <c r="N36" s="475">
        <v>145000</v>
      </c>
      <c r="O36" s="475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65">
        <v>174238</v>
      </c>
      <c r="C37" s="466">
        <v>3</v>
      </c>
      <c r="D37" s="467" t="s">
        <v>8</v>
      </c>
      <c r="E37" s="466">
        <v>142</v>
      </c>
      <c r="F37" s="474">
        <v>200000</v>
      </c>
      <c r="G37" s="474">
        <v>0</v>
      </c>
      <c r="H37" s="474">
        <v>200000</v>
      </c>
      <c r="I37" s="474">
        <v>0</v>
      </c>
      <c r="J37" s="474">
        <v>200000</v>
      </c>
      <c r="K37" s="474">
        <v>0</v>
      </c>
      <c r="L37" s="474">
        <v>200000</v>
      </c>
      <c r="M37" s="474">
        <v>66397.78</v>
      </c>
      <c r="N37" s="474">
        <v>66397.78</v>
      </c>
      <c r="O37" s="474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69">
        <v>174239</v>
      </c>
      <c r="C38" s="470">
        <v>3</v>
      </c>
      <c r="D38" s="471" t="s">
        <v>8</v>
      </c>
      <c r="E38" s="470">
        <v>142</v>
      </c>
      <c r="F38" s="475">
        <v>5692518</v>
      </c>
      <c r="G38" s="475">
        <v>0</v>
      </c>
      <c r="H38" s="475">
        <v>5692518</v>
      </c>
      <c r="I38" s="475">
        <v>0</v>
      </c>
      <c r="J38" s="475">
        <v>5692518</v>
      </c>
      <c r="K38" s="475">
        <v>0</v>
      </c>
      <c r="L38" s="475">
        <v>5692518</v>
      </c>
      <c r="M38" s="475">
        <v>3553438.83</v>
      </c>
      <c r="N38" s="475">
        <v>3002011.83</v>
      </c>
      <c r="O38" s="475">
        <v>551427</v>
      </c>
      <c r="P38" s="448">
        <f t="shared" si="1"/>
        <v>5141091</v>
      </c>
    </row>
    <row r="39" spans="1:16" ht="17.100000000000001" customHeight="1" x14ac:dyDescent="0.2">
      <c r="A39" s="446" t="str">
        <f t="shared" si="0"/>
        <v>174239-4-142</v>
      </c>
      <c r="B39" s="465">
        <v>174239</v>
      </c>
      <c r="C39" s="466">
        <v>4</v>
      </c>
      <c r="D39" s="467" t="s">
        <v>7</v>
      </c>
      <c r="E39" s="466">
        <v>142</v>
      </c>
      <c r="F39" s="474">
        <v>1000000</v>
      </c>
      <c r="G39" s="474">
        <v>0</v>
      </c>
      <c r="H39" s="474">
        <v>1000000</v>
      </c>
      <c r="I39" s="474">
        <v>0</v>
      </c>
      <c r="J39" s="474">
        <v>1000000</v>
      </c>
      <c r="K39" s="474">
        <v>0</v>
      </c>
      <c r="L39" s="474">
        <v>1000000</v>
      </c>
      <c r="M39" s="474">
        <v>977784.45</v>
      </c>
      <c r="N39" s="474">
        <v>977784.45</v>
      </c>
      <c r="O39" s="474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69">
        <v>174239</v>
      </c>
      <c r="C40" s="470">
        <v>3</v>
      </c>
      <c r="D40" s="471" t="s">
        <v>8</v>
      </c>
      <c r="E40" s="470">
        <v>150</v>
      </c>
      <c r="F40" s="475">
        <v>1807482</v>
      </c>
      <c r="G40" s="475">
        <v>0</v>
      </c>
      <c r="H40" s="475">
        <v>1807482</v>
      </c>
      <c r="I40" s="475">
        <v>0</v>
      </c>
      <c r="J40" s="475">
        <v>1807482</v>
      </c>
      <c r="K40" s="475">
        <v>0</v>
      </c>
      <c r="L40" s="475">
        <v>1807482</v>
      </c>
      <c r="M40" s="475">
        <v>1320450.58</v>
      </c>
      <c r="N40" s="475">
        <v>870450.58</v>
      </c>
      <c r="O40" s="475">
        <v>450000</v>
      </c>
      <c r="P40" s="448">
        <f t="shared" si="1"/>
        <v>1357482</v>
      </c>
    </row>
    <row r="41" spans="1:16" ht="17.100000000000001" customHeight="1" x14ac:dyDescent="0.2">
      <c r="A41" s="446" t="str">
        <f t="shared" si="0"/>
        <v>174240-3-142</v>
      </c>
      <c r="B41" s="465">
        <v>174240</v>
      </c>
      <c r="C41" s="466">
        <v>3</v>
      </c>
      <c r="D41" s="467" t="s">
        <v>8</v>
      </c>
      <c r="E41" s="466">
        <v>142</v>
      </c>
      <c r="F41" s="474">
        <v>1408632</v>
      </c>
      <c r="G41" s="474">
        <v>0</v>
      </c>
      <c r="H41" s="474">
        <v>1408632</v>
      </c>
      <c r="I41" s="474">
        <v>0</v>
      </c>
      <c r="J41" s="474">
        <v>1408632</v>
      </c>
      <c r="K41" s="474">
        <v>0</v>
      </c>
      <c r="L41" s="474">
        <v>1408632</v>
      </c>
      <c r="M41" s="474">
        <v>1131506.79</v>
      </c>
      <c r="N41" s="474">
        <v>954783.79</v>
      </c>
      <c r="O41" s="474">
        <v>176723</v>
      </c>
      <c r="P41" s="449">
        <f>+L41-O41</f>
        <v>1231909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69">
        <v>174240</v>
      </c>
      <c r="C42" s="470">
        <v>4</v>
      </c>
      <c r="D42" s="471" t="s">
        <v>7</v>
      </c>
      <c r="E42" s="470">
        <v>142</v>
      </c>
      <c r="F42" s="475">
        <v>91368</v>
      </c>
      <c r="G42" s="475">
        <v>0</v>
      </c>
      <c r="H42" s="475">
        <v>91368</v>
      </c>
      <c r="I42" s="475">
        <v>0</v>
      </c>
      <c r="J42" s="475">
        <v>91368</v>
      </c>
      <c r="K42" s="475">
        <v>0</v>
      </c>
      <c r="L42" s="475">
        <v>91368</v>
      </c>
      <c r="M42" s="475">
        <v>50497</v>
      </c>
      <c r="N42" s="475">
        <v>50497</v>
      </c>
      <c r="O42" s="475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65">
        <v>174241</v>
      </c>
      <c r="C43" s="466">
        <v>3</v>
      </c>
      <c r="D43" s="467" t="s">
        <v>8</v>
      </c>
      <c r="E43" s="466">
        <v>142</v>
      </c>
      <c r="F43" s="474">
        <v>1999999</v>
      </c>
      <c r="G43" s="474">
        <v>0</v>
      </c>
      <c r="H43" s="474">
        <v>1999999</v>
      </c>
      <c r="I43" s="474">
        <v>0</v>
      </c>
      <c r="J43" s="474">
        <v>1999999</v>
      </c>
      <c r="K43" s="474">
        <v>0</v>
      </c>
      <c r="L43" s="474">
        <v>1999999</v>
      </c>
      <c r="M43" s="474">
        <v>800623.78</v>
      </c>
      <c r="N43" s="474">
        <v>800623.78</v>
      </c>
      <c r="O43" s="474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69">
        <v>174241</v>
      </c>
      <c r="C44" s="470">
        <v>4</v>
      </c>
      <c r="D44" s="471" t="s">
        <v>7</v>
      </c>
      <c r="E44" s="470">
        <v>142</v>
      </c>
      <c r="F44" s="475">
        <v>1000000</v>
      </c>
      <c r="G44" s="475">
        <v>0</v>
      </c>
      <c r="H44" s="475">
        <v>1000000</v>
      </c>
      <c r="I44" s="475">
        <v>0</v>
      </c>
      <c r="J44" s="475">
        <v>1000000</v>
      </c>
      <c r="K44" s="475">
        <v>0</v>
      </c>
      <c r="L44" s="475">
        <v>1000000</v>
      </c>
      <c r="M44" s="475">
        <v>638026.56000000006</v>
      </c>
      <c r="N44" s="475">
        <v>638026.56000000006</v>
      </c>
      <c r="O44" s="475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65">
        <v>174242</v>
      </c>
      <c r="C45" s="466">
        <v>3</v>
      </c>
      <c r="D45" s="467" t="s">
        <v>8</v>
      </c>
      <c r="E45" s="466">
        <v>142</v>
      </c>
      <c r="F45" s="474">
        <v>1490000</v>
      </c>
      <c r="G45" s="474">
        <v>0</v>
      </c>
      <c r="H45" s="474">
        <v>1490000</v>
      </c>
      <c r="I45" s="474">
        <v>0</v>
      </c>
      <c r="J45" s="474">
        <v>1490000</v>
      </c>
      <c r="K45" s="474">
        <v>0</v>
      </c>
      <c r="L45" s="474">
        <v>1490000</v>
      </c>
      <c r="M45" s="474">
        <v>552889.59999999998</v>
      </c>
      <c r="N45" s="474">
        <v>552889.59999999998</v>
      </c>
      <c r="O45" s="474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69">
        <v>174242</v>
      </c>
      <c r="C46" s="470">
        <v>4</v>
      </c>
      <c r="D46" s="471" t="s">
        <v>7</v>
      </c>
      <c r="E46" s="470">
        <v>142</v>
      </c>
      <c r="F46" s="475">
        <v>1700000</v>
      </c>
      <c r="G46" s="475">
        <v>0</v>
      </c>
      <c r="H46" s="475">
        <v>1700000</v>
      </c>
      <c r="I46" s="475">
        <v>0</v>
      </c>
      <c r="J46" s="475">
        <v>1700000</v>
      </c>
      <c r="K46" s="475">
        <v>0</v>
      </c>
      <c r="L46" s="475">
        <v>1700000</v>
      </c>
      <c r="M46" s="475">
        <v>1440191</v>
      </c>
      <c r="N46" s="475">
        <v>1440191</v>
      </c>
      <c r="O46" s="475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65">
        <v>174243</v>
      </c>
      <c r="C47" s="466">
        <v>3</v>
      </c>
      <c r="D47" s="467" t="s">
        <v>8</v>
      </c>
      <c r="E47" s="466">
        <v>142</v>
      </c>
      <c r="F47" s="474">
        <v>200000</v>
      </c>
      <c r="G47" s="474">
        <v>0</v>
      </c>
      <c r="H47" s="474">
        <v>200000</v>
      </c>
      <c r="I47" s="474">
        <v>0</v>
      </c>
      <c r="J47" s="474">
        <v>200000</v>
      </c>
      <c r="K47" s="474">
        <v>0</v>
      </c>
      <c r="L47" s="474">
        <v>200000</v>
      </c>
      <c r="M47" s="474">
        <v>110039.5</v>
      </c>
      <c r="N47" s="474">
        <v>110039.5</v>
      </c>
      <c r="O47" s="474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69">
        <v>174244</v>
      </c>
      <c r="C48" s="470">
        <v>3</v>
      </c>
      <c r="D48" s="471" t="s">
        <v>8</v>
      </c>
      <c r="E48" s="470">
        <v>142</v>
      </c>
      <c r="F48" s="475">
        <v>200000</v>
      </c>
      <c r="G48" s="475">
        <v>0</v>
      </c>
      <c r="H48" s="475">
        <v>200000</v>
      </c>
      <c r="I48" s="475">
        <v>0</v>
      </c>
      <c r="J48" s="475">
        <v>200000</v>
      </c>
      <c r="K48" s="475">
        <v>0</v>
      </c>
      <c r="L48" s="475">
        <v>200000</v>
      </c>
      <c r="M48" s="475">
        <v>114988.52</v>
      </c>
      <c r="N48" s="475">
        <v>114988.52</v>
      </c>
      <c r="O48" s="475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65">
        <v>174245</v>
      </c>
      <c r="C49" s="466">
        <v>3</v>
      </c>
      <c r="D49" s="467" t="s">
        <v>8</v>
      </c>
      <c r="E49" s="466">
        <v>142</v>
      </c>
      <c r="F49" s="474">
        <v>3539578</v>
      </c>
      <c r="G49" s="474">
        <v>0</v>
      </c>
      <c r="H49" s="474">
        <v>3539578</v>
      </c>
      <c r="I49" s="474">
        <v>0</v>
      </c>
      <c r="J49" s="474">
        <v>3539578</v>
      </c>
      <c r="K49" s="474">
        <v>0</v>
      </c>
      <c r="L49" s="474">
        <v>3539578</v>
      </c>
      <c r="M49" s="474">
        <v>2523236.34</v>
      </c>
      <c r="N49" s="474">
        <v>2523236.34</v>
      </c>
      <c r="O49" s="474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69">
        <v>174245</v>
      </c>
      <c r="C50" s="470">
        <v>4</v>
      </c>
      <c r="D50" s="471" t="s">
        <v>7</v>
      </c>
      <c r="E50" s="470">
        <v>142</v>
      </c>
      <c r="F50" s="475">
        <v>2460422</v>
      </c>
      <c r="G50" s="475">
        <v>0</v>
      </c>
      <c r="H50" s="475">
        <v>2460422</v>
      </c>
      <c r="I50" s="475">
        <v>0</v>
      </c>
      <c r="J50" s="475">
        <v>2460422</v>
      </c>
      <c r="K50" s="475">
        <v>0</v>
      </c>
      <c r="L50" s="475">
        <v>2460422</v>
      </c>
      <c r="M50" s="475">
        <v>2077011</v>
      </c>
      <c r="N50" s="475">
        <v>2077011</v>
      </c>
      <c r="O50" s="475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65">
        <v>174246</v>
      </c>
      <c r="C51" s="466">
        <v>3</v>
      </c>
      <c r="D51" s="467" t="s">
        <v>8</v>
      </c>
      <c r="E51" s="466">
        <v>142</v>
      </c>
      <c r="F51" s="474">
        <v>300000</v>
      </c>
      <c r="G51" s="474">
        <v>0</v>
      </c>
      <c r="H51" s="474">
        <v>300000</v>
      </c>
      <c r="I51" s="474">
        <v>0</v>
      </c>
      <c r="J51" s="474">
        <v>300000</v>
      </c>
      <c r="K51" s="474">
        <v>0</v>
      </c>
      <c r="L51" s="474">
        <v>300000</v>
      </c>
      <c r="M51" s="474">
        <v>65632.289999999994</v>
      </c>
      <c r="N51" s="474">
        <v>15632.29</v>
      </c>
      <c r="O51" s="474">
        <v>50000</v>
      </c>
      <c r="P51" s="449">
        <f>+L51-O51</f>
        <v>250000</v>
      </c>
      <c r="Q51" s="450"/>
    </row>
    <row r="52" spans="1:17" ht="17.100000000000001" customHeight="1" x14ac:dyDescent="0.2">
      <c r="A52" s="446" t="str">
        <f t="shared" si="2"/>
        <v>174247-3-142</v>
      </c>
      <c r="B52" s="469">
        <v>174247</v>
      </c>
      <c r="C52" s="470">
        <v>3</v>
      </c>
      <c r="D52" s="471" t="s">
        <v>8</v>
      </c>
      <c r="E52" s="470">
        <v>142</v>
      </c>
      <c r="F52" s="475">
        <v>275000</v>
      </c>
      <c r="G52" s="475">
        <v>0</v>
      </c>
      <c r="H52" s="475">
        <v>275000</v>
      </c>
      <c r="I52" s="475">
        <v>0</v>
      </c>
      <c r="J52" s="475">
        <v>275000</v>
      </c>
      <c r="K52" s="475">
        <v>0</v>
      </c>
      <c r="L52" s="475">
        <v>275000</v>
      </c>
      <c r="M52" s="475">
        <v>200875.25</v>
      </c>
      <c r="N52" s="475">
        <v>200875.25</v>
      </c>
      <c r="O52" s="475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65">
        <v>174248</v>
      </c>
      <c r="C53" s="466">
        <v>3</v>
      </c>
      <c r="D53" s="467" t="s">
        <v>8</v>
      </c>
      <c r="E53" s="466">
        <v>142</v>
      </c>
      <c r="F53" s="474">
        <v>2365000</v>
      </c>
      <c r="G53" s="474">
        <v>0</v>
      </c>
      <c r="H53" s="474">
        <v>2365000</v>
      </c>
      <c r="I53" s="474">
        <v>0</v>
      </c>
      <c r="J53" s="474">
        <v>2365000</v>
      </c>
      <c r="K53" s="474">
        <v>0</v>
      </c>
      <c r="L53" s="474">
        <v>2365000</v>
      </c>
      <c r="M53" s="474">
        <v>2365000</v>
      </c>
      <c r="N53" s="474">
        <v>2365000</v>
      </c>
      <c r="O53" s="474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69">
        <v>174249</v>
      </c>
      <c r="C54" s="470">
        <v>3</v>
      </c>
      <c r="D54" s="471" t="s">
        <v>8</v>
      </c>
      <c r="E54" s="470">
        <v>142</v>
      </c>
      <c r="F54" s="475">
        <v>900000</v>
      </c>
      <c r="G54" s="475">
        <v>0</v>
      </c>
      <c r="H54" s="475">
        <v>900000</v>
      </c>
      <c r="I54" s="475">
        <v>0</v>
      </c>
      <c r="J54" s="475">
        <v>900000</v>
      </c>
      <c r="K54" s="475">
        <v>0</v>
      </c>
      <c r="L54" s="475">
        <v>900000</v>
      </c>
      <c r="M54" s="475">
        <v>691664.98</v>
      </c>
      <c r="N54" s="475">
        <v>291664.98</v>
      </c>
      <c r="O54" s="475">
        <v>400000</v>
      </c>
      <c r="P54" s="448">
        <f t="shared" si="1"/>
        <v>500000</v>
      </c>
    </row>
    <row r="55" spans="1:17" ht="17.100000000000001" customHeight="1" x14ac:dyDescent="0.2">
      <c r="A55" s="446" t="str">
        <f t="shared" si="2"/>
        <v>174249-4-142</v>
      </c>
      <c r="B55" s="465">
        <v>174249</v>
      </c>
      <c r="C55" s="466">
        <v>4</v>
      </c>
      <c r="D55" s="467" t="s">
        <v>7</v>
      </c>
      <c r="E55" s="466">
        <v>142</v>
      </c>
      <c r="F55" s="474">
        <v>300000</v>
      </c>
      <c r="G55" s="474">
        <v>0</v>
      </c>
      <c r="H55" s="474">
        <v>300000</v>
      </c>
      <c r="I55" s="474">
        <v>0</v>
      </c>
      <c r="J55" s="474">
        <v>300000</v>
      </c>
      <c r="K55" s="474">
        <v>0</v>
      </c>
      <c r="L55" s="474">
        <v>300000</v>
      </c>
      <c r="M55" s="474">
        <v>11780</v>
      </c>
      <c r="N55" s="474">
        <v>11780</v>
      </c>
      <c r="O55" s="474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69">
        <v>174250</v>
      </c>
      <c r="C56" s="470">
        <v>3</v>
      </c>
      <c r="D56" s="471" t="s">
        <v>8</v>
      </c>
      <c r="E56" s="470">
        <v>142</v>
      </c>
      <c r="F56" s="475">
        <v>1579000</v>
      </c>
      <c r="G56" s="475">
        <v>0</v>
      </c>
      <c r="H56" s="475">
        <v>1579000</v>
      </c>
      <c r="I56" s="475">
        <v>0</v>
      </c>
      <c r="J56" s="475">
        <v>1579000</v>
      </c>
      <c r="K56" s="475">
        <v>0</v>
      </c>
      <c r="L56" s="475">
        <v>1579000</v>
      </c>
      <c r="M56" s="475">
        <v>835627.34</v>
      </c>
      <c r="N56" s="475">
        <v>835627.34</v>
      </c>
      <c r="O56" s="475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65">
        <v>174250</v>
      </c>
      <c r="C57" s="466">
        <v>4</v>
      </c>
      <c r="D57" s="467" t="s">
        <v>7</v>
      </c>
      <c r="E57" s="466">
        <v>142</v>
      </c>
      <c r="F57" s="474">
        <v>800000</v>
      </c>
      <c r="G57" s="474">
        <v>0</v>
      </c>
      <c r="H57" s="474">
        <v>800000</v>
      </c>
      <c r="I57" s="474">
        <v>0</v>
      </c>
      <c r="J57" s="474">
        <v>800000</v>
      </c>
      <c r="K57" s="474">
        <v>0</v>
      </c>
      <c r="L57" s="474">
        <v>800000</v>
      </c>
      <c r="M57" s="474">
        <v>587284</v>
      </c>
      <c r="N57" s="474">
        <v>233839</v>
      </c>
      <c r="O57" s="474">
        <v>353445</v>
      </c>
      <c r="P57" s="449">
        <f>+L57-O57</f>
        <v>446555</v>
      </c>
    </row>
    <row r="58" spans="1:17" ht="17.100000000000001" customHeight="1" x14ac:dyDescent="0.2">
      <c r="A58" s="446" t="str">
        <f t="shared" si="2"/>
        <v>174251-3-142</v>
      </c>
      <c r="B58" s="469">
        <v>174251</v>
      </c>
      <c r="C58" s="470">
        <v>3</v>
      </c>
      <c r="D58" s="471" t="s">
        <v>8</v>
      </c>
      <c r="E58" s="470">
        <v>142</v>
      </c>
      <c r="F58" s="475">
        <v>200000</v>
      </c>
      <c r="G58" s="475">
        <v>0</v>
      </c>
      <c r="H58" s="475">
        <v>200000</v>
      </c>
      <c r="I58" s="475">
        <v>0</v>
      </c>
      <c r="J58" s="475">
        <v>200000</v>
      </c>
      <c r="K58" s="475">
        <v>0</v>
      </c>
      <c r="L58" s="475">
        <v>200000</v>
      </c>
      <c r="M58" s="475">
        <v>200000</v>
      </c>
      <c r="N58" s="475">
        <v>0</v>
      </c>
      <c r="O58" s="475">
        <v>200000</v>
      </c>
      <c r="P58" s="448">
        <f t="shared" si="1"/>
        <v>0</v>
      </c>
    </row>
    <row r="59" spans="1:17" ht="17.100000000000001" customHeight="1" x14ac:dyDescent="0.2">
      <c r="A59" s="446" t="str">
        <f t="shared" si="2"/>
        <v>174252-3-142</v>
      </c>
      <c r="B59" s="465">
        <v>174252</v>
      </c>
      <c r="C59" s="466">
        <v>3</v>
      </c>
      <c r="D59" s="467" t="s">
        <v>8</v>
      </c>
      <c r="E59" s="466">
        <v>142</v>
      </c>
      <c r="F59" s="474">
        <v>3400000</v>
      </c>
      <c r="G59" s="474">
        <v>0</v>
      </c>
      <c r="H59" s="474">
        <v>3400000</v>
      </c>
      <c r="I59" s="474">
        <v>-500000</v>
      </c>
      <c r="J59" s="474">
        <v>2900000</v>
      </c>
      <c r="K59" s="474">
        <v>0</v>
      </c>
      <c r="L59" s="474">
        <v>2900000</v>
      </c>
      <c r="M59" s="474">
        <v>1713425.21</v>
      </c>
      <c r="N59" s="474">
        <v>1163425.21</v>
      </c>
      <c r="O59" s="474">
        <v>550000</v>
      </c>
      <c r="P59" s="449">
        <f>+L59-O59</f>
        <v>2350000</v>
      </c>
    </row>
    <row r="60" spans="1:17" ht="17.100000000000001" customHeight="1" x14ac:dyDescent="0.2">
      <c r="A60" s="446" t="str">
        <f t="shared" si="2"/>
        <v>174253-3-142</v>
      </c>
      <c r="B60" s="469">
        <v>174253</v>
      </c>
      <c r="C60" s="470">
        <v>3</v>
      </c>
      <c r="D60" s="471" t="s">
        <v>8</v>
      </c>
      <c r="E60" s="470">
        <v>142</v>
      </c>
      <c r="F60" s="475">
        <v>350000</v>
      </c>
      <c r="G60" s="475">
        <v>0</v>
      </c>
      <c r="H60" s="475">
        <v>350000</v>
      </c>
      <c r="I60" s="475">
        <v>0</v>
      </c>
      <c r="J60" s="475">
        <v>350000</v>
      </c>
      <c r="K60" s="475">
        <v>0</v>
      </c>
      <c r="L60" s="475">
        <v>350000</v>
      </c>
      <c r="M60" s="475">
        <v>264558.15000000002</v>
      </c>
      <c r="N60" s="475">
        <v>235521.15</v>
      </c>
      <c r="O60" s="475">
        <v>29037</v>
      </c>
      <c r="P60" s="448">
        <f t="shared" si="1"/>
        <v>320963</v>
      </c>
    </row>
    <row r="61" spans="1:17" ht="17.100000000000001" customHeight="1" x14ac:dyDescent="0.2">
      <c r="A61" s="446" t="str">
        <f t="shared" si="2"/>
        <v>174254-3-142</v>
      </c>
      <c r="B61" s="465">
        <v>174254</v>
      </c>
      <c r="C61" s="466">
        <v>3</v>
      </c>
      <c r="D61" s="467" t="s">
        <v>8</v>
      </c>
      <c r="E61" s="466">
        <v>142</v>
      </c>
      <c r="F61" s="474">
        <v>980000</v>
      </c>
      <c r="G61" s="474">
        <v>0</v>
      </c>
      <c r="H61" s="474">
        <v>980000</v>
      </c>
      <c r="I61" s="474">
        <v>0</v>
      </c>
      <c r="J61" s="474">
        <v>980000</v>
      </c>
      <c r="K61" s="474">
        <v>0</v>
      </c>
      <c r="L61" s="474">
        <v>980000</v>
      </c>
      <c r="M61" s="474">
        <v>637352.63</v>
      </c>
      <c r="N61" s="474">
        <v>484352.63</v>
      </c>
      <c r="O61" s="474">
        <v>153000</v>
      </c>
      <c r="P61" s="449">
        <f>+L61-O61</f>
        <v>827000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69">
        <v>174255</v>
      </c>
      <c r="C62" s="470">
        <v>3</v>
      </c>
      <c r="D62" s="471" t="s">
        <v>8</v>
      </c>
      <c r="E62" s="470">
        <v>142</v>
      </c>
      <c r="F62" s="475">
        <v>421000</v>
      </c>
      <c r="G62" s="475">
        <v>0</v>
      </c>
      <c r="H62" s="475">
        <v>421000</v>
      </c>
      <c r="I62" s="475">
        <v>0</v>
      </c>
      <c r="J62" s="475">
        <v>421000</v>
      </c>
      <c r="K62" s="475">
        <v>0</v>
      </c>
      <c r="L62" s="475">
        <v>421000</v>
      </c>
      <c r="M62" s="475">
        <v>421000</v>
      </c>
      <c r="N62" s="475">
        <v>421000</v>
      </c>
      <c r="O62" s="475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65">
        <v>174256</v>
      </c>
      <c r="C63" s="466">
        <v>3</v>
      </c>
      <c r="D63" s="467" t="s">
        <v>8</v>
      </c>
      <c r="E63" s="466">
        <v>142</v>
      </c>
      <c r="F63" s="474">
        <v>300000</v>
      </c>
      <c r="G63" s="474">
        <v>0</v>
      </c>
      <c r="H63" s="474">
        <v>300000</v>
      </c>
      <c r="I63" s="474">
        <v>0</v>
      </c>
      <c r="J63" s="474">
        <v>300000</v>
      </c>
      <c r="K63" s="474">
        <v>0</v>
      </c>
      <c r="L63" s="474">
        <v>300000</v>
      </c>
      <c r="M63" s="474">
        <v>1953.01000000001</v>
      </c>
      <c r="N63" s="474">
        <v>1953.01</v>
      </c>
      <c r="O63" s="474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69">
        <v>174257</v>
      </c>
      <c r="C64" s="470">
        <v>3</v>
      </c>
      <c r="D64" s="471" t="s">
        <v>8</v>
      </c>
      <c r="E64" s="470">
        <v>142</v>
      </c>
      <c r="F64" s="475">
        <v>3913610</v>
      </c>
      <c r="G64" s="475">
        <v>0</v>
      </c>
      <c r="H64" s="475">
        <v>3913610</v>
      </c>
      <c r="I64" s="475">
        <v>0</v>
      </c>
      <c r="J64" s="475">
        <v>3913610</v>
      </c>
      <c r="K64" s="475">
        <v>0</v>
      </c>
      <c r="L64" s="475">
        <v>3913610</v>
      </c>
      <c r="M64" s="475">
        <v>1668553.77</v>
      </c>
      <c r="N64" s="475">
        <v>637766.77</v>
      </c>
      <c r="O64" s="475">
        <v>1030787</v>
      </c>
      <c r="P64" s="448">
        <f t="shared" si="1"/>
        <v>2882823</v>
      </c>
    </row>
    <row r="65" spans="1:16" ht="17.100000000000001" customHeight="1" x14ac:dyDescent="0.2">
      <c r="A65" s="446" t="str">
        <f t="shared" si="3"/>
        <v>174257-4-142</v>
      </c>
      <c r="B65" s="465">
        <v>174257</v>
      </c>
      <c r="C65" s="466">
        <v>4</v>
      </c>
      <c r="D65" s="467" t="s">
        <v>7</v>
      </c>
      <c r="E65" s="466">
        <v>142</v>
      </c>
      <c r="F65" s="474">
        <v>197500</v>
      </c>
      <c r="G65" s="474">
        <v>0</v>
      </c>
      <c r="H65" s="474">
        <v>197500</v>
      </c>
      <c r="I65" s="474">
        <v>0</v>
      </c>
      <c r="J65" s="474">
        <v>197500</v>
      </c>
      <c r="K65" s="474">
        <v>0</v>
      </c>
      <c r="L65" s="474">
        <v>197500</v>
      </c>
      <c r="M65" s="474">
        <v>127500</v>
      </c>
      <c r="N65" s="474">
        <v>127500</v>
      </c>
      <c r="O65" s="474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69">
        <v>174258</v>
      </c>
      <c r="C66" s="470">
        <v>3</v>
      </c>
      <c r="D66" s="471" t="s">
        <v>8</v>
      </c>
      <c r="E66" s="470">
        <v>142</v>
      </c>
      <c r="F66" s="475">
        <v>1800000</v>
      </c>
      <c r="G66" s="475">
        <v>0</v>
      </c>
      <c r="H66" s="475">
        <v>1800000</v>
      </c>
      <c r="I66" s="475">
        <v>0</v>
      </c>
      <c r="J66" s="475">
        <v>1800000</v>
      </c>
      <c r="K66" s="475">
        <v>0</v>
      </c>
      <c r="L66" s="475">
        <v>1800000</v>
      </c>
      <c r="M66" s="475">
        <v>1214288.33</v>
      </c>
      <c r="N66" s="475">
        <v>1214288.33</v>
      </c>
      <c r="O66" s="475"/>
      <c r="P66" s="448">
        <f t="shared" si="1"/>
        <v>1800000</v>
      </c>
    </row>
    <row r="67" spans="1:16" ht="17.100000000000001" customHeight="1" x14ac:dyDescent="0.2">
      <c r="A67" s="446" t="str">
        <f t="shared" si="3"/>
        <v>174258-4-142</v>
      </c>
      <c r="B67" s="465">
        <v>174258</v>
      </c>
      <c r="C67" s="466">
        <v>4</v>
      </c>
      <c r="D67" s="467" t="s">
        <v>7</v>
      </c>
      <c r="E67" s="466">
        <v>142</v>
      </c>
      <c r="F67" s="474">
        <v>1400000</v>
      </c>
      <c r="G67" s="474">
        <v>0</v>
      </c>
      <c r="H67" s="474">
        <v>1400000</v>
      </c>
      <c r="I67" s="474">
        <v>-400000</v>
      </c>
      <c r="J67" s="474">
        <v>1000000</v>
      </c>
      <c r="K67" s="474">
        <v>0</v>
      </c>
      <c r="L67" s="474">
        <v>1000000</v>
      </c>
      <c r="M67" s="474">
        <v>935196</v>
      </c>
      <c r="N67" s="474">
        <v>581751</v>
      </c>
      <c r="O67" s="474">
        <v>353445</v>
      </c>
      <c r="P67" s="449">
        <f>+L67-O67</f>
        <v>646555</v>
      </c>
    </row>
    <row r="68" spans="1:16" ht="17.100000000000001" customHeight="1" x14ac:dyDescent="0.2">
      <c r="A68" s="446" t="str">
        <f t="shared" si="3"/>
        <v>174259-3-142</v>
      </c>
      <c r="B68" s="469">
        <v>174259</v>
      </c>
      <c r="C68" s="470">
        <v>3</v>
      </c>
      <c r="D68" s="471" t="s">
        <v>8</v>
      </c>
      <c r="E68" s="470">
        <v>142</v>
      </c>
      <c r="F68" s="475">
        <v>150000</v>
      </c>
      <c r="G68" s="475">
        <v>0</v>
      </c>
      <c r="H68" s="475">
        <v>150000</v>
      </c>
      <c r="I68" s="475">
        <v>0</v>
      </c>
      <c r="J68" s="475">
        <v>150000</v>
      </c>
      <c r="K68" s="475">
        <v>0</v>
      </c>
      <c r="L68" s="475">
        <v>150000</v>
      </c>
      <c r="M68" s="475">
        <v>91134.39</v>
      </c>
      <c r="N68" s="475">
        <v>91134.39</v>
      </c>
      <c r="O68" s="475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65">
        <v>174260</v>
      </c>
      <c r="C69" s="466">
        <v>3</v>
      </c>
      <c r="D69" s="467" t="s">
        <v>8</v>
      </c>
      <c r="E69" s="466">
        <v>142</v>
      </c>
      <c r="F69" s="474">
        <v>1685000</v>
      </c>
      <c r="G69" s="474">
        <v>0</v>
      </c>
      <c r="H69" s="474">
        <v>1685000</v>
      </c>
      <c r="I69" s="474">
        <v>0</v>
      </c>
      <c r="J69" s="474">
        <v>1685000</v>
      </c>
      <c r="K69" s="474">
        <v>0</v>
      </c>
      <c r="L69" s="474">
        <v>1685000</v>
      </c>
      <c r="M69" s="474">
        <v>1119824.44</v>
      </c>
      <c r="N69" s="474">
        <v>1012824.44</v>
      </c>
      <c r="O69" s="474">
        <v>107000</v>
      </c>
      <c r="P69" s="449">
        <f>+L69-O69</f>
        <v>1578000</v>
      </c>
    </row>
    <row r="70" spans="1:16" ht="17.100000000000001" customHeight="1" x14ac:dyDescent="0.2">
      <c r="A70" s="446" t="str">
        <f t="shared" si="3"/>
        <v>174261-3-142</v>
      </c>
      <c r="B70" s="469">
        <v>174261</v>
      </c>
      <c r="C70" s="470">
        <v>3</v>
      </c>
      <c r="D70" s="471" t="s">
        <v>8</v>
      </c>
      <c r="E70" s="470">
        <v>142</v>
      </c>
      <c r="F70" s="475">
        <v>16000000</v>
      </c>
      <c r="G70" s="475">
        <v>0</v>
      </c>
      <c r="H70" s="475">
        <v>16000000</v>
      </c>
      <c r="I70" s="475">
        <v>0</v>
      </c>
      <c r="J70" s="475">
        <v>16000000</v>
      </c>
      <c r="K70" s="475">
        <v>0</v>
      </c>
      <c r="L70" s="475">
        <v>16000000</v>
      </c>
      <c r="M70" s="475">
        <v>10268056.310000001</v>
      </c>
      <c r="N70" s="475">
        <v>9168056.3100000005</v>
      </c>
      <c r="O70" s="475">
        <v>1100000</v>
      </c>
      <c r="P70" s="448">
        <f t="shared" si="1"/>
        <v>14900000</v>
      </c>
    </row>
    <row r="71" spans="1:16" ht="17.100000000000001" customHeight="1" x14ac:dyDescent="0.2">
      <c r="A71" s="446" t="str">
        <f t="shared" si="3"/>
        <v>174262-3-142</v>
      </c>
      <c r="B71" s="465">
        <v>174262</v>
      </c>
      <c r="C71" s="466">
        <v>3</v>
      </c>
      <c r="D71" s="467" t="s">
        <v>8</v>
      </c>
      <c r="E71" s="466">
        <v>142</v>
      </c>
      <c r="F71" s="474">
        <v>2126000</v>
      </c>
      <c r="G71" s="474">
        <v>0</v>
      </c>
      <c r="H71" s="474">
        <v>2126000</v>
      </c>
      <c r="I71" s="474">
        <v>0</v>
      </c>
      <c r="J71" s="474">
        <v>2126000</v>
      </c>
      <c r="K71" s="474">
        <v>0</v>
      </c>
      <c r="L71" s="474">
        <v>2126000</v>
      </c>
      <c r="M71" s="474">
        <v>1718029.85</v>
      </c>
      <c r="N71" s="474">
        <v>1718029.85</v>
      </c>
      <c r="O71" s="474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69">
        <v>174262</v>
      </c>
      <c r="C72" s="470">
        <v>4</v>
      </c>
      <c r="D72" s="471" t="s">
        <v>7</v>
      </c>
      <c r="E72" s="470">
        <v>142</v>
      </c>
      <c r="F72" s="475">
        <v>495000</v>
      </c>
      <c r="G72" s="475">
        <v>0</v>
      </c>
      <c r="H72" s="475">
        <v>495000</v>
      </c>
      <c r="I72" s="475">
        <v>0</v>
      </c>
      <c r="J72" s="475">
        <v>495000</v>
      </c>
      <c r="K72" s="475">
        <v>0</v>
      </c>
      <c r="L72" s="475">
        <v>495000</v>
      </c>
      <c r="M72" s="475">
        <v>20000</v>
      </c>
      <c r="N72" s="475">
        <v>20000</v>
      </c>
      <c r="O72" s="475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65">
        <v>174263</v>
      </c>
      <c r="C73" s="466">
        <v>3</v>
      </c>
      <c r="D73" s="467" t="s">
        <v>8</v>
      </c>
      <c r="E73" s="466">
        <v>142</v>
      </c>
      <c r="F73" s="474">
        <v>700000</v>
      </c>
      <c r="G73" s="474">
        <v>0</v>
      </c>
      <c r="H73" s="474">
        <v>700000</v>
      </c>
      <c r="I73" s="474">
        <v>0</v>
      </c>
      <c r="J73" s="474">
        <v>700000</v>
      </c>
      <c r="K73" s="474">
        <v>0</v>
      </c>
      <c r="L73" s="474">
        <v>700000</v>
      </c>
      <c r="M73" s="474">
        <v>571174.22</v>
      </c>
      <c r="N73" s="474">
        <v>571174.22</v>
      </c>
      <c r="O73" s="474"/>
      <c r="P73" s="449">
        <f>+L73-O73</f>
        <v>700000</v>
      </c>
    </row>
    <row r="74" spans="1:16" ht="17.100000000000001" customHeight="1" x14ac:dyDescent="0.2">
      <c r="A74" s="446" t="str">
        <f t="shared" si="3"/>
        <v>174263-4-142</v>
      </c>
      <c r="B74" s="469">
        <v>174263</v>
      </c>
      <c r="C74" s="470">
        <v>4</v>
      </c>
      <c r="D74" s="471" t="s">
        <v>7</v>
      </c>
      <c r="E74" s="470">
        <v>142</v>
      </c>
      <c r="F74" s="475">
        <v>100000</v>
      </c>
      <c r="G74" s="475">
        <v>0</v>
      </c>
      <c r="H74" s="475">
        <v>100000</v>
      </c>
      <c r="I74" s="475">
        <v>400000</v>
      </c>
      <c r="J74" s="475">
        <v>500000</v>
      </c>
      <c r="K74" s="475">
        <v>0</v>
      </c>
      <c r="L74" s="475">
        <v>500000</v>
      </c>
      <c r="M74" s="475">
        <v>473594</v>
      </c>
      <c r="N74" s="475">
        <v>237964</v>
      </c>
      <c r="O74" s="475">
        <v>235630</v>
      </c>
      <c r="P74" s="448">
        <f t="shared" si="1"/>
        <v>264370</v>
      </c>
    </row>
    <row r="75" spans="1:16" ht="17.100000000000001" customHeight="1" x14ac:dyDescent="0.2">
      <c r="A75" s="446" t="str">
        <f t="shared" si="3"/>
        <v>174264-3-142</v>
      </c>
      <c r="B75" s="465">
        <v>174264</v>
      </c>
      <c r="C75" s="466">
        <v>3</v>
      </c>
      <c r="D75" s="467" t="s">
        <v>8</v>
      </c>
      <c r="E75" s="466">
        <v>142</v>
      </c>
      <c r="F75" s="474">
        <v>3500000</v>
      </c>
      <c r="G75" s="474">
        <v>0</v>
      </c>
      <c r="H75" s="474">
        <v>3500000</v>
      </c>
      <c r="I75" s="474">
        <v>0</v>
      </c>
      <c r="J75" s="474">
        <v>3500000</v>
      </c>
      <c r="K75" s="474">
        <v>0</v>
      </c>
      <c r="L75" s="474">
        <v>3500000</v>
      </c>
      <c r="M75" s="474">
        <v>2384632.3199999998</v>
      </c>
      <c r="N75" s="474">
        <v>2001021.32</v>
      </c>
      <c r="O75" s="474">
        <v>383611</v>
      </c>
      <c r="P75" s="449">
        <f>+L75-O75</f>
        <v>3116389</v>
      </c>
    </row>
    <row r="76" spans="1:16" ht="17.100000000000001" customHeight="1" x14ac:dyDescent="0.2">
      <c r="A76" s="446" t="str">
        <f t="shared" si="3"/>
        <v>174264-4-142</v>
      </c>
      <c r="B76" s="469">
        <v>174264</v>
      </c>
      <c r="C76" s="470">
        <v>4</v>
      </c>
      <c r="D76" s="471" t="s">
        <v>7</v>
      </c>
      <c r="E76" s="470">
        <v>142</v>
      </c>
      <c r="F76" s="475">
        <v>1400000</v>
      </c>
      <c r="G76" s="475">
        <v>0</v>
      </c>
      <c r="H76" s="475">
        <v>1400000</v>
      </c>
      <c r="I76" s="475">
        <v>0</v>
      </c>
      <c r="J76" s="475">
        <v>1400000</v>
      </c>
      <c r="K76" s="475">
        <v>0</v>
      </c>
      <c r="L76" s="475">
        <v>1400000</v>
      </c>
      <c r="M76" s="475">
        <v>1186924.45</v>
      </c>
      <c r="N76" s="475">
        <v>686924.45</v>
      </c>
      <c r="O76" s="475">
        <v>500000</v>
      </c>
      <c r="P76" s="448">
        <f t="shared" si="1"/>
        <v>900000</v>
      </c>
    </row>
    <row r="77" spans="1:16" ht="17.100000000000001" customHeight="1" x14ac:dyDescent="0.2">
      <c r="A77" s="446" t="str">
        <f t="shared" si="3"/>
        <v>174265-3-142</v>
      </c>
      <c r="B77" s="465">
        <v>174265</v>
      </c>
      <c r="C77" s="466">
        <v>3</v>
      </c>
      <c r="D77" s="467" t="s">
        <v>8</v>
      </c>
      <c r="E77" s="466">
        <v>142</v>
      </c>
      <c r="F77" s="474">
        <v>695000</v>
      </c>
      <c r="G77" s="474">
        <v>0</v>
      </c>
      <c r="H77" s="474">
        <v>695000</v>
      </c>
      <c r="I77" s="474">
        <v>0</v>
      </c>
      <c r="J77" s="474">
        <v>695000</v>
      </c>
      <c r="K77" s="474">
        <v>0</v>
      </c>
      <c r="L77" s="474">
        <v>695000</v>
      </c>
      <c r="M77" s="474">
        <v>461600.66</v>
      </c>
      <c r="N77" s="474">
        <v>169600.66</v>
      </c>
      <c r="O77" s="474">
        <v>292000</v>
      </c>
      <c r="P77" s="449">
        <f>+L77-O77</f>
        <v>403000</v>
      </c>
    </row>
    <row r="78" spans="1:16" ht="17.100000000000001" customHeight="1" x14ac:dyDescent="0.2">
      <c r="A78" s="446" t="str">
        <f t="shared" si="3"/>
        <v>174266-3-142</v>
      </c>
      <c r="B78" s="469">
        <v>174266</v>
      </c>
      <c r="C78" s="470">
        <v>3</v>
      </c>
      <c r="D78" s="471" t="s">
        <v>8</v>
      </c>
      <c r="E78" s="470">
        <v>142</v>
      </c>
      <c r="F78" s="475">
        <v>400000</v>
      </c>
      <c r="G78" s="475">
        <v>0</v>
      </c>
      <c r="H78" s="475">
        <v>400000</v>
      </c>
      <c r="I78" s="475">
        <v>0</v>
      </c>
      <c r="J78" s="475">
        <v>400000</v>
      </c>
      <c r="K78" s="475">
        <v>0</v>
      </c>
      <c r="L78" s="475">
        <v>400000</v>
      </c>
      <c r="M78" s="475">
        <v>400000</v>
      </c>
      <c r="N78" s="475">
        <v>0</v>
      </c>
      <c r="O78" s="475">
        <v>400000</v>
      </c>
      <c r="P78" s="448">
        <f t="shared" si="1"/>
        <v>0</v>
      </c>
    </row>
    <row r="79" spans="1:16" ht="17.100000000000001" customHeight="1" x14ac:dyDescent="0.2">
      <c r="A79" s="446" t="str">
        <f t="shared" si="3"/>
        <v>174267-3-142</v>
      </c>
      <c r="B79" s="465">
        <v>174267</v>
      </c>
      <c r="C79" s="466">
        <v>3</v>
      </c>
      <c r="D79" s="467" t="s">
        <v>8</v>
      </c>
      <c r="E79" s="466">
        <v>142</v>
      </c>
      <c r="F79" s="474">
        <v>2007890</v>
      </c>
      <c r="G79" s="474">
        <v>0</v>
      </c>
      <c r="H79" s="474">
        <v>2007890</v>
      </c>
      <c r="I79" s="474">
        <v>0</v>
      </c>
      <c r="J79" s="474">
        <v>2007890</v>
      </c>
      <c r="K79" s="474">
        <v>0</v>
      </c>
      <c r="L79" s="474">
        <v>2007890</v>
      </c>
      <c r="M79" s="474">
        <v>1671307.59</v>
      </c>
      <c r="N79" s="474">
        <v>911307.59</v>
      </c>
      <c r="O79" s="474">
        <v>760000</v>
      </c>
      <c r="P79" s="449">
        <f>+L79-O79</f>
        <v>1247890</v>
      </c>
    </row>
    <row r="80" spans="1:16" ht="17.100000000000001" customHeight="1" x14ac:dyDescent="0.2">
      <c r="A80" s="446" t="str">
        <f t="shared" si="3"/>
        <v>174267-4-142</v>
      </c>
      <c r="B80" s="469">
        <v>174267</v>
      </c>
      <c r="C80" s="470">
        <v>4</v>
      </c>
      <c r="D80" s="471" t="s">
        <v>7</v>
      </c>
      <c r="E80" s="470">
        <v>142</v>
      </c>
      <c r="F80" s="475">
        <v>110000</v>
      </c>
      <c r="G80" s="475">
        <v>0</v>
      </c>
      <c r="H80" s="475">
        <v>110000</v>
      </c>
      <c r="I80" s="475">
        <v>0</v>
      </c>
      <c r="J80" s="475">
        <v>110000</v>
      </c>
      <c r="K80" s="475">
        <v>0</v>
      </c>
      <c r="L80" s="475">
        <v>110000</v>
      </c>
      <c r="M80" s="475">
        <v>0</v>
      </c>
      <c r="N80" s="475">
        <v>0</v>
      </c>
      <c r="O80" s="475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65">
        <v>174268</v>
      </c>
      <c r="C81" s="466">
        <v>3</v>
      </c>
      <c r="D81" s="467" t="s">
        <v>8</v>
      </c>
      <c r="E81" s="466">
        <v>142</v>
      </c>
      <c r="F81" s="474">
        <v>800000</v>
      </c>
      <c r="G81" s="474">
        <v>0</v>
      </c>
      <c r="H81" s="474">
        <v>800000</v>
      </c>
      <c r="I81" s="474">
        <v>0</v>
      </c>
      <c r="J81" s="474">
        <v>800000</v>
      </c>
      <c r="K81" s="474">
        <v>0</v>
      </c>
      <c r="L81" s="474">
        <v>800000</v>
      </c>
      <c r="M81" s="474">
        <v>567000.73</v>
      </c>
      <c r="N81" s="474">
        <v>567000.73</v>
      </c>
      <c r="O81" s="474"/>
      <c r="P81" s="449">
        <f>+L81-O81</f>
        <v>800000</v>
      </c>
    </row>
    <row r="82" spans="1:16" ht="17.100000000000001" customHeight="1" x14ac:dyDescent="0.2">
      <c r="A82" s="446" t="str">
        <f t="shared" si="3"/>
        <v>174268-4-142</v>
      </c>
      <c r="B82" s="469">
        <v>174268</v>
      </c>
      <c r="C82" s="470">
        <v>4</v>
      </c>
      <c r="D82" s="471" t="s">
        <v>7</v>
      </c>
      <c r="E82" s="470">
        <v>142</v>
      </c>
      <c r="F82" s="475">
        <v>100000</v>
      </c>
      <c r="G82" s="475">
        <v>0</v>
      </c>
      <c r="H82" s="475">
        <v>100000</v>
      </c>
      <c r="I82" s="475">
        <v>0</v>
      </c>
      <c r="J82" s="475">
        <v>100000</v>
      </c>
      <c r="K82" s="475">
        <v>0</v>
      </c>
      <c r="L82" s="475">
        <v>100000</v>
      </c>
      <c r="M82" s="475">
        <v>100000</v>
      </c>
      <c r="N82" s="475">
        <v>100000</v>
      </c>
      <c r="O82" s="475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65">
        <v>174269</v>
      </c>
      <c r="C83" s="466">
        <v>3</v>
      </c>
      <c r="D83" s="467" t="s">
        <v>8</v>
      </c>
      <c r="E83" s="466">
        <v>142</v>
      </c>
      <c r="F83" s="474">
        <v>5000000</v>
      </c>
      <c r="G83" s="474">
        <v>0</v>
      </c>
      <c r="H83" s="474">
        <v>5000000</v>
      </c>
      <c r="I83" s="474">
        <v>0</v>
      </c>
      <c r="J83" s="474">
        <v>5000000</v>
      </c>
      <c r="K83" s="474">
        <v>0</v>
      </c>
      <c r="L83" s="474">
        <v>5000000</v>
      </c>
      <c r="M83" s="474">
        <v>3257020.26</v>
      </c>
      <c r="N83" s="474">
        <v>2667946.2599999998</v>
      </c>
      <c r="O83" s="474">
        <v>589074</v>
      </c>
      <c r="P83" s="449">
        <f>+L83-O83</f>
        <v>4410926</v>
      </c>
    </row>
    <row r="84" spans="1:16" ht="17.100000000000001" customHeight="1" x14ac:dyDescent="0.2">
      <c r="A84" s="446" t="str">
        <f t="shared" si="3"/>
        <v>174270-3-142</v>
      </c>
      <c r="B84" s="469">
        <v>174270</v>
      </c>
      <c r="C84" s="470">
        <v>3</v>
      </c>
      <c r="D84" s="471" t="s">
        <v>8</v>
      </c>
      <c r="E84" s="470">
        <v>142</v>
      </c>
      <c r="F84" s="475">
        <v>2950000</v>
      </c>
      <c r="G84" s="475">
        <v>0</v>
      </c>
      <c r="H84" s="475">
        <v>2950000</v>
      </c>
      <c r="I84" s="475">
        <v>0</v>
      </c>
      <c r="J84" s="475">
        <v>2950000</v>
      </c>
      <c r="K84" s="475">
        <v>0</v>
      </c>
      <c r="L84" s="475">
        <v>2950000</v>
      </c>
      <c r="M84" s="475">
        <v>1739786.2</v>
      </c>
      <c r="N84" s="475">
        <v>1430786.2</v>
      </c>
      <c r="O84" s="475">
        <v>309000</v>
      </c>
      <c r="P84" s="448">
        <f t="shared" si="1"/>
        <v>2641000</v>
      </c>
    </row>
    <row r="85" spans="1:16" ht="17.100000000000001" customHeight="1" x14ac:dyDescent="0.2">
      <c r="A85" s="446" t="str">
        <f t="shared" si="3"/>
        <v>174271-3-142</v>
      </c>
      <c r="B85" s="465">
        <v>174271</v>
      </c>
      <c r="C85" s="466">
        <v>3</v>
      </c>
      <c r="D85" s="467" t="s">
        <v>8</v>
      </c>
      <c r="E85" s="466">
        <v>142</v>
      </c>
      <c r="F85" s="474">
        <v>700000</v>
      </c>
      <c r="G85" s="474">
        <v>0</v>
      </c>
      <c r="H85" s="474">
        <v>700000</v>
      </c>
      <c r="I85" s="474">
        <v>0</v>
      </c>
      <c r="J85" s="474">
        <v>700000</v>
      </c>
      <c r="K85" s="474">
        <v>0</v>
      </c>
      <c r="L85" s="474">
        <v>700000</v>
      </c>
      <c r="M85" s="474">
        <v>474425.43</v>
      </c>
      <c r="N85" s="474">
        <v>474425.43</v>
      </c>
      <c r="O85" s="474"/>
      <c r="P85" s="449">
        <f>+L85-O85</f>
        <v>700000</v>
      </c>
    </row>
    <row r="86" spans="1:16" ht="17.100000000000001" customHeight="1" x14ac:dyDescent="0.2">
      <c r="A86" s="446" t="str">
        <f t="shared" si="3"/>
        <v>174271-4-142</v>
      </c>
      <c r="B86" s="469">
        <v>174271</v>
      </c>
      <c r="C86" s="470">
        <v>4</v>
      </c>
      <c r="D86" s="471" t="s">
        <v>7</v>
      </c>
      <c r="E86" s="470">
        <v>142</v>
      </c>
      <c r="F86" s="475">
        <v>100000</v>
      </c>
      <c r="G86" s="475">
        <v>0</v>
      </c>
      <c r="H86" s="475">
        <v>100000</v>
      </c>
      <c r="I86" s="475">
        <v>0</v>
      </c>
      <c r="J86" s="475">
        <v>100000</v>
      </c>
      <c r="K86" s="475">
        <v>0</v>
      </c>
      <c r="L86" s="475">
        <v>100000</v>
      </c>
      <c r="M86" s="475">
        <v>100000</v>
      </c>
      <c r="N86" s="475">
        <v>100000</v>
      </c>
      <c r="O86" s="475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65">
        <v>174272</v>
      </c>
      <c r="C87" s="466">
        <v>3</v>
      </c>
      <c r="D87" s="467" t="s">
        <v>8</v>
      </c>
      <c r="E87" s="466">
        <v>142</v>
      </c>
      <c r="F87" s="474">
        <v>1000000</v>
      </c>
      <c r="G87" s="474">
        <v>0</v>
      </c>
      <c r="H87" s="474">
        <v>1000000</v>
      </c>
      <c r="I87" s="474">
        <v>0</v>
      </c>
      <c r="J87" s="474">
        <v>1000000</v>
      </c>
      <c r="K87" s="474">
        <v>0</v>
      </c>
      <c r="L87" s="474">
        <v>1000000</v>
      </c>
      <c r="M87" s="474">
        <v>696765.76</v>
      </c>
      <c r="N87" s="474">
        <v>107690.76</v>
      </c>
      <c r="O87" s="474">
        <v>589075</v>
      </c>
      <c r="P87" s="449">
        <f>+L87-O87</f>
        <v>410925</v>
      </c>
    </row>
    <row r="88" spans="1:16" ht="17.100000000000001" customHeight="1" x14ac:dyDescent="0.2">
      <c r="A88" s="446" t="str">
        <f t="shared" si="3"/>
        <v>174273-3-142</v>
      </c>
      <c r="B88" s="469">
        <v>174273</v>
      </c>
      <c r="C88" s="470">
        <v>3</v>
      </c>
      <c r="D88" s="471" t="s">
        <v>8</v>
      </c>
      <c r="E88" s="470">
        <v>142</v>
      </c>
      <c r="F88" s="475">
        <v>1000000</v>
      </c>
      <c r="G88" s="475">
        <v>0</v>
      </c>
      <c r="H88" s="475">
        <v>1000000</v>
      </c>
      <c r="I88" s="475">
        <v>0</v>
      </c>
      <c r="J88" s="475">
        <v>1000000</v>
      </c>
      <c r="K88" s="475">
        <v>0</v>
      </c>
      <c r="L88" s="475">
        <v>1000000</v>
      </c>
      <c r="M88" s="475">
        <v>0</v>
      </c>
      <c r="N88" s="475">
        <v>0</v>
      </c>
      <c r="O88" s="475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65">
        <v>195063</v>
      </c>
      <c r="C89" s="466">
        <v>3</v>
      </c>
      <c r="D89" s="467" t="s">
        <v>8</v>
      </c>
      <c r="E89" s="466">
        <v>100</v>
      </c>
      <c r="F89" s="474">
        <v>1949502</v>
      </c>
      <c r="G89" s="474">
        <v>0</v>
      </c>
      <c r="H89" s="474">
        <v>1949502</v>
      </c>
      <c r="I89" s="474">
        <v>0</v>
      </c>
      <c r="J89" s="474">
        <v>1949502</v>
      </c>
      <c r="K89" s="474">
        <v>0</v>
      </c>
      <c r="L89" s="474">
        <v>1949502</v>
      </c>
      <c r="M89" s="474">
        <v>1373577.32</v>
      </c>
      <c r="N89" s="474">
        <v>1388786.72</v>
      </c>
      <c r="O89" s="474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69">
        <v>195065</v>
      </c>
      <c r="C90" s="470">
        <v>3</v>
      </c>
      <c r="D90" s="471" t="s">
        <v>8</v>
      </c>
      <c r="E90" s="470">
        <v>100</v>
      </c>
      <c r="F90" s="475">
        <v>233177</v>
      </c>
      <c r="G90" s="475">
        <v>0</v>
      </c>
      <c r="H90" s="475">
        <v>233177</v>
      </c>
      <c r="I90" s="475">
        <v>0</v>
      </c>
      <c r="J90" s="475">
        <v>233177</v>
      </c>
      <c r="K90" s="475">
        <v>0</v>
      </c>
      <c r="L90" s="475">
        <v>233177</v>
      </c>
      <c r="M90" s="475">
        <v>180821.49</v>
      </c>
      <c r="N90" s="475">
        <v>180821.49</v>
      </c>
      <c r="O90" s="475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65">
        <v>195067</v>
      </c>
      <c r="C91" s="466">
        <v>3</v>
      </c>
      <c r="D91" s="467" t="s">
        <v>8</v>
      </c>
      <c r="E91" s="466">
        <v>100</v>
      </c>
      <c r="F91" s="474">
        <v>17628738</v>
      </c>
      <c r="G91" s="474">
        <v>0</v>
      </c>
      <c r="H91" s="474">
        <v>17628738</v>
      </c>
      <c r="I91" s="474">
        <v>0</v>
      </c>
      <c r="J91" s="474">
        <v>17628738</v>
      </c>
      <c r="K91" s="474">
        <v>0</v>
      </c>
      <c r="L91" s="474">
        <v>17628738</v>
      </c>
      <c r="M91" s="474">
        <v>11467229.060000001</v>
      </c>
      <c r="N91" s="474">
        <v>11467229.060000001</v>
      </c>
      <c r="O91" s="474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69">
        <v>204816</v>
      </c>
      <c r="C92" s="470">
        <v>3</v>
      </c>
      <c r="D92" s="471" t="s">
        <v>8</v>
      </c>
      <c r="E92" s="470">
        <v>181</v>
      </c>
      <c r="F92" s="475">
        <v>800000</v>
      </c>
      <c r="G92" s="475">
        <v>0</v>
      </c>
      <c r="H92" s="475">
        <v>800000</v>
      </c>
      <c r="I92" s="475">
        <v>0</v>
      </c>
      <c r="J92" s="475">
        <v>800000</v>
      </c>
      <c r="K92" s="475">
        <v>0</v>
      </c>
      <c r="L92" s="475">
        <v>800000</v>
      </c>
      <c r="M92" s="475">
        <v>454886.91</v>
      </c>
      <c r="N92" s="475">
        <v>454886.91</v>
      </c>
      <c r="O92" s="475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65">
        <v>204817</v>
      </c>
      <c r="C93" s="466">
        <v>3</v>
      </c>
      <c r="D93" s="467" t="s">
        <v>8</v>
      </c>
      <c r="E93" s="466">
        <v>181</v>
      </c>
      <c r="F93" s="474">
        <v>700000</v>
      </c>
      <c r="G93" s="474">
        <v>0</v>
      </c>
      <c r="H93" s="474">
        <v>700000</v>
      </c>
      <c r="I93" s="474">
        <v>0</v>
      </c>
      <c r="J93" s="474">
        <v>700000</v>
      </c>
      <c r="K93" s="474">
        <v>0</v>
      </c>
      <c r="L93" s="474">
        <v>700000</v>
      </c>
      <c r="M93" s="474">
        <v>618561.37</v>
      </c>
      <c r="N93" s="474">
        <v>618561.37</v>
      </c>
      <c r="O93" s="474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69">
        <v>204818</v>
      </c>
      <c r="C94" s="470">
        <v>3</v>
      </c>
      <c r="D94" s="471" t="s">
        <v>8</v>
      </c>
      <c r="E94" s="470">
        <v>142</v>
      </c>
      <c r="F94" s="475">
        <v>1</v>
      </c>
      <c r="G94" s="475">
        <v>0</v>
      </c>
      <c r="H94" s="475">
        <v>1</v>
      </c>
      <c r="I94" s="475">
        <v>0</v>
      </c>
      <c r="J94" s="475">
        <v>1</v>
      </c>
      <c r="K94" s="475">
        <v>0</v>
      </c>
      <c r="L94" s="475">
        <v>1</v>
      </c>
      <c r="M94" s="475">
        <v>1</v>
      </c>
      <c r="N94" s="475">
        <v>1</v>
      </c>
      <c r="O94" s="475"/>
      <c r="P94" s="451">
        <f t="shared" si="1"/>
        <v>1</v>
      </c>
    </row>
    <row r="95" spans="1:16" ht="17.100000000000001" customHeight="1" x14ac:dyDescent="0.2">
      <c r="A95" s="446"/>
      <c r="B95" s="476" t="s">
        <v>9</v>
      </c>
      <c r="C95" s="483"/>
      <c r="D95" s="483"/>
      <c r="E95" s="476"/>
      <c r="F95" s="473">
        <v>517546895</v>
      </c>
      <c r="G95" s="473">
        <v>-3436635</v>
      </c>
      <c r="H95" s="473">
        <v>514110260</v>
      </c>
      <c r="I95" s="473">
        <v>3677453</v>
      </c>
      <c r="J95" s="473">
        <v>517787713</v>
      </c>
      <c r="K95" s="473">
        <v>0</v>
      </c>
      <c r="L95" s="473">
        <v>517787713</v>
      </c>
      <c r="M95" s="473">
        <v>284749343.67000002</v>
      </c>
      <c r="N95" s="473">
        <v>269435135.38</v>
      </c>
      <c r="O95" s="473">
        <v>14735403</v>
      </c>
      <c r="P95" s="453">
        <f>+L95-O95</f>
        <v>503052310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95:D95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84"/>
  <sheetViews>
    <sheetView showGridLines="0" zoomScale="80" zoomScaleNormal="80" workbookViewId="0">
      <pane xSplit="1" ySplit="4" topLeftCell="B65" activePane="bottomRight" state="frozen"/>
      <selection activeCell="Q5" sqref="Q5:Q7"/>
      <selection pane="topRight" activeCell="Q5" sqref="Q5:Q7"/>
      <selection pane="bottomLeft" activeCell="Q5" sqref="Q5:Q7"/>
      <selection pane="bottomRight" activeCell="I85" sqref="I85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9" t="s">
        <v>48</v>
      </c>
      <c r="B3" s="488" t="s">
        <v>0</v>
      </c>
      <c r="C3" s="488" t="s">
        <v>1</v>
      </c>
      <c r="D3" s="488"/>
      <c r="E3" s="490" t="s">
        <v>349</v>
      </c>
      <c r="F3" s="486" t="s">
        <v>67</v>
      </c>
      <c r="G3" s="486" t="s">
        <v>50</v>
      </c>
      <c r="H3" s="486" t="s">
        <v>51</v>
      </c>
      <c r="I3" s="486" t="s">
        <v>52</v>
      </c>
      <c r="J3" s="486" t="s">
        <v>53</v>
      </c>
      <c r="K3" s="486" t="s">
        <v>54</v>
      </c>
      <c r="L3" s="486" t="s">
        <v>5</v>
      </c>
      <c r="M3" s="486" t="s">
        <v>12</v>
      </c>
    </row>
    <row r="4" spans="1:13" ht="32.1" customHeight="1" x14ac:dyDescent="0.2">
      <c r="A4" s="489"/>
      <c r="B4" s="488"/>
      <c r="C4" s="488"/>
      <c r="D4" s="488"/>
      <c r="E4" s="491"/>
      <c r="F4" s="487"/>
      <c r="G4" s="487"/>
      <c r="H4" s="487"/>
      <c r="I4" s="487"/>
      <c r="J4" s="487"/>
      <c r="K4" s="487"/>
      <c r="L4" s="487"/>
      <c r="M4" s="487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1240882.0900000001</v>
      </c>
      <c r="G5" s="468">
        <v>1229737.26</v>
      </c>
      <c r="H5" s="468">
        <v>0</v>
      </c>
      <c r="I5" s="468">
        <v>1229737.26</v>
      </c>
      <c r="J5" s="468">
        <v>0</v>
      </c>
      <c r="K5" s="468">
        <v>1229737.26</v>
      </c>
      <c r="L5" s="468">
        <v>11144.83</v>
      </c>
      <c r="M5" s="437"/>
    </row>
    <row r="6" spans="1:13" ht="20.100000000000001" customHeight="1" x14ac:dyDescent="0.2">
      <c r="A6" s="410" t="str">
        <f t="shared" ref="A6:A70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256616.68</v>
      </c>
      <c r="G6" s="472">
        <v>256616.68</v>
      </c>
      <c r="H6" s="472">
        <v>0</v>
      </c>
      <c r="I6" s="472">
        <v>256616.68</v>
      </c>
      <c r="J6" s="472">
        <v>0</v>
      </c>
      <c r="K6" s="472">
        <v>256616.68</v>
      </c>
      <c r="L6" s="472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21973.599999999999</v>
      </c>
      <c r="G7" s="468">
        <v>21973.599999999999</v>
      </c>
      <c r="H7" s="468">
        <v>0</v>
      </c>
      <c r="I7" s="468">
        <v>21973.599999999999</v>
      </c>
      <c r="J7" s="468">
        <v>0</v>
      </c>
      <c r="K7" s="468">
        <v>21973.599999999999</v>
      </c>
      <c r="L7" s="468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69">
        <v>128805</v>
      </c>
      <c r="C8" s="470">
        <v>3</v>
      </c>
      <c r="D8" s="471" t="s">
        <v>8</v>
      </c>
      <c r="E8" s="470">
        <v>142</v>
      </c>
      <c r="F8" s="472">
        <v>27126.81</v>
      </c>
      <c r="G8" s="472">
        <v>27126.81</v>
      </c>
      <c r="H8" s="472">
        <v>0</v>
      </c>
      <c r="I8" s="472">
        <v>27126.81</v>
      </c>
      <c r="J8" s="472">
        <v>0</v>
      </c>
      <c r="K8" s="472">
        <v>27126.81</v>
      </c>
      <c r="L8" s="472">
        <v>0</v>
      </c>
      <c r="M8" s="438"/>
    </row>
    <row r="9" spans="1:13" ht="20.100000000000001" customHeight="1" x14ac:dyDescent="0.2">
      <c r="A9" s="410" t="str">
        <f t="shared" si="0"/>
        <v>128809-3-142</v>
      </c>
      <c r="B9" s="465">
        <v>128809</v>
      </c>
      <c r="C9" s="466">
        <v>3</v>
      </c>
      <c r="D9" s="467" t="s">
        <v>8</v>
      </c>
      <c r="E9" s="466">
        <v>142</v>
      </c>
      <c r="F9" s="468">
        <v>25557.87</v>
      </c>
      <c r="G9" s="468">
        <v>25557.87</v>
      </c>
      <c r="H9" s="468">
        <v>0</v>
      </c>
      <c r="I9" s="468">
        <v>25557.87</v>
      </c>
      <c r="J9" s="468">
        <v>0</v>
      </c>
      <c r="K9" s="468">
        <v>25557.87</v>
      </c>
      <c r="L9" s="468">
        <v>0</v>
      </c>
      <c r="M9" s="437"/>
    </row>
    <row r="10" spans="1:13" ht="20.100000000000001" customHeight="1" x14ac:dyDescent="0.2">
      <c r="A10" s="410" t="str">
        <f t="shared" si="0"/>
        <v>128811-3-142</v>
      </c>
      <c r="B10" s="469">
        <v>128811</v>
      </c>
      <c r="C10" s="470">
        <v>3</v>
      </c>
      <c r="D10" s="471" t="s">
        <v>8</v>
      </c>
      <c r="E10" s="470">
        <v>142</v>
      </c>
      <c r="F10" s="472">
        <v>69880.08</v>
      </c>
      <c r="G10" s="472">
        <v>69880.08</v>
      </c>
      <c r="H10" s="472">
        <v>0</v>
      </c>
      <c r="I10" s="472">
        <v>69880.08</v>
      </c>
      <c r="J10" s="472">
        <v>0</v>
      </c>
      <c r="K10" s="472">
        <v>69880.08</v>
      </c>
      <c r="L10" s="472">
        <v>0</v>
      </c>
      <c r="M10" s="438"/>
    </row>
    <row r="11" spans="1:13" ht="20.100000000000001" customHeight="1" x14ac:dyDescent="0.2">
      <c r="A11" s="410" t="str">
        <f t="shared" si="0"/>
        <v>139605-3-151</v>
      </c>
      <c r="B11" s="465">
        <v>139605</v>
      </c>
      <c r="C11" s="466">
        <v>3</v>
      </c>
      <c r="D11" s="467" t="s">
        <v>8</v>
      </c>
      <c r="E11" s="466">
        <v>151</v>
      </c>
      <c r="F11" s="468">
        <v>134870.35999999999</v>
      </c>
      <c r="G11" s="468">
        <v>134870.35999999999</v>
      </c>
      <c r="H11" s="468">
        <v>0</v>
      </c>
      <c r="I11" s="468">
        <v>134870.35999999999</v>
      </c>
      <c r="J11" s="468">
        <v>0</v>
      </c>
      <c r="K11" s="468">
        <v>134870.35999999999</v>
      </c>
      <c r="L11" s="468">
        <v>0</v>
      </c>
      <c r="M11" s="437"/>
    </row>
    <row r="12" spans="1:13" ht="20.100000000000001" customHeight="1" x14ac:dyDescent="0.2">
      <c r="A12" s="410" t="str">
        <f t="shared" si="0"/>
        <v>174222-1-100</v>
      </c>
      <c r="B12" s="469">
        <v>174222</v>
      </c>
      <c r="C12" s="470">
        <v>1</v>
      </c>
      <c r="D12" s="471" t="s">
        <v>11</v>
      </c>
      <c r="E12" s="470">
        <v>100</v>
      </c>
      <c r="F12" s="472">
        <v>156421348.75999999</v>
      </c>
      <c r="G12" s="472">
        <v>152327218.99000001</v>
      </c>
      <c r="H12" s="472">
        <v>11427820.060000001</v>
      </c>
      <c r="I12" s="472">
        <v>140899398.93000001</v>
      </c>
      <c r="J12" s="472">
        <v>4320087.97</v>
      </c>
      <c r="K12" s="472">
        <v>136579310.96000001</v>
      </c>
      <c r="L12" s="472">
        <v>4094129.77</v>
      </c>
      <c r="M12" s="438"/>
    </row>
    <row r="13" spans="1:13" ht="20.100000000000001" customHeight="1" x14ac:dyDescent="0.2">
      <c r="A13" s="410" t="str">
        <f t="shared" si="0"/>
        <v>174224-3-151</v>
      </c>
      <c r="B13" s="465">
        <v>174224</v>
      </c>
      <c r="C13" s="466">
        <v>3</v>
      </c>
      <c r="D13" s="467" t="s">
        <v>8</v>
      </c>
      <c r="E13" s="466">
        <v>151</v>
      </c>
      <c r="F13" s="468">
        <v>11386615.970000001</v>
      </c>
      <c r="G13" s="468">
        <v>11221817.539999999</v>
      </c>
      <c r="H13" s="468">
        <v>2026273.87</v>
      </c>
      <c r="I13" s="468">
        <v>9195543.6699999999</v>
      </c>
      <c r="J13" s="468">
        <v>1844905.98</v>
      </c>
      <c r="K13" s="468">
        <v>7350637.6900000004</v>
      </c>
      <c r="L13" s="468">
        <v>164798.43</v>
      </c>
      <c r="M13" s="437"/>
    </row>
    <row r="14" spans="1:13" ht="20.100000000000001" customHeight="1" x14ac:dyDescent="0.2">
      <c r="A14" s="410" t="str">
        <f t="shared" si="0"/>
        <v>174225-3-151</v>
      </c>
      <c r="B14" s="469">
        <v>174225</v>
      </c>
      <c r="C14" s="470">
        <v>3</v>
      </c>
      <c r="D14" s="471" t="s">
        <v>8</v>
      </c>
      <c r="E14" s="470">
        <v>151</v>
      </c>
      <c r="F14" s="472">
        <v>379455.92</v>
      </c>
      <c r="G14" s="472">
        <v>356714.52</v>
      </c>
      <c r="H14" s="472">
        <v>136707.53</v>
      </c>
      <c r="I14" s="472">
        <v>220006.99</v>
      </c>
      <c r="J14" s="472">
        <v>9051.61</v>
      </c>
      <c r="K14" s="472">
        <v>210955.38</v>
      </c>
      <c r="L14" s="472">
        <v>22741.4</v>
      </c>
      <c r="M14" s="438"/>
    </row>
    <row r="15" spans="1:13" ht="20.100000000000001" customHeight="1" x14ac:dyDescent="0.2">
      <c r="A15" s="410" t="str">
        <f t="shared" si="0"/>
        <v>174230-3-142</v>
      </c>
      <c r="B15" s="465">
        <v>174230</v>
      </c>
      <c r="C15" s="466">
        <v>3</v>
      </c>
      <c r="D15" s="467" t="s">
        <v>8</v>
      </c>
      <c r="E15" s="466">
        <v>142</v>
      </c>
      <c r="F15" s="468">
        <v>191631.83</v>
      </c>
      <c r="G15" s="468">
        <v>134725.60999999999</v>
      </c>
      <c r="H15" s="468">
        <v>48446.239999999998</v>
      </c>
      <c r="I15" s="468">
        <v>86279.37</v>
      </c>
      <c r="J15" s="468">
        <v>3616.6</v>
      </c>
      <c r="K15" s="468">
        <v>82662.77</v>
      </c>
      <c r="L15" s="468">
        <v>56906.22</v>
      </c>
      <c r="M15" s="437"/>
    </row>
    <row r="16" spans="1:13" ht="20.100000000000001" customHeight="1" x14ac:dyDescent="0.2">
      <c r="A16" s="410" t="str">
        <f t="shared" si="0"/>
        <v>174231-3-142</v>
      </c>
      <c r="B16" s="469">
        <v>174231</v>
      </c>
      <c r="C16" s="470">
        <v>3</v>
      </c>
      <c r="D16" s="471" t="s">
        <v>8</v>
      </c>
      <c r="E16" s="470">
        <v>142</v>
      </c>
      <c r="F16" s="472">
        <v>297440.83</v>
      </c>
      <c r="G16" s="472">
        <v>215628.53</v>
      </c>
      <c r="H16" s="472">
        <v>155649.88</v>
      </c>
      <c r="I16" s="472">
        <v>59978.65</v>
      </c>
      <c r="J16" s="472">
        <v>2619.48</v>
      </c>
      <c r="K16" s="472">
        <v>57359.17</v>
      </c>
      <c r="L16" s="472">
        <v>81812.3</v>
      </c>
      <c r="M16" s="438"/>
    </row>
    <row r="17" spans="1:13" ht="20.100000000000001" customHeight="1" x14ac:dyDescent="0.2">
      <c r="A17" s="410" t="str">
        <f t="shared" si="0"/>
        <v>174231-4-142</v>
      </c>
      <c r="B17" s="465">
        <v>174231</v>
      </c>
      <c r="C17" s="466">
        <v>4</v>
      </c>
      <c r="D17" s="467" t="s">
        <v>7</v>
      </c>
      <c r="E17" s="466">
        <v>142</v>
      </c>
      <c r="F17" s="468">
        <v>281210.06</v>
      </c>
      <c r="G17" s="468">
        <v>280949</v>
      </c>
      <c r="H17" s="468">
        <v>280949</v>
      </c>
      <c r="I17" s="468"/>
      <c r="J17" s="468"/>
      <c r="K17" s="468"/>
      <c r="L17" s="468">
        <v>261.06</v>
      </c>
      <c r="M17" s="437"/>
    </row>
    <row r="18" spans="1:13" ht="20.100000000000001" customHeight="1" x14ac:dyDescent="0.2">
      <c r="A18" s="410" t="str">
        <f t="shared" si="0"/>
        <v>174232-3-142</v>
      </c>
      <c r="B18" s="469">
        <v>174232</v>
      </c>
      <c r="C18" s="470">
        <v>3</v>
      </c>
      <c r="D18" s="471" t="s">
        <v>8</v>
      </c>
      <c r="E18" s="470">
        <v>142</v>
      </c>
      <c r="F18" s="472">
        <v>24871250.039999999</v>
      </c>
      <c r="G18" s="472">
        <v>24728623.23</v>
      </c>
      <c r="H18" s="472">
        <v>15839164.09</v>
      </c>
      <c r="I18" s="472">
        <v>8889459.1400000006</v>
      </c>
      <c r="J18" s="472">
        <v>1182772.1399999999</v>
      </c>
      <c r="K18" s="472">
        <v>7706687</v>
      </c>
      <c r="L18" s="472">
        <v>462941.5</v>
      </c>
      <c r="M18" s="438"/>
    </row>
    <row r="19" spans="1:13" ht="20.100000000000001" customHeight="1" x14ac:dyDescent="0.2">
      <c r="A19" s="410" t="str">
        <f t="shared" si="0"/>
        <v>174232-4-142</v>
      </c>
      <c r="B19" s="465">
        <v>174232</v>
      </c>
      <c r="C19" s="466">
        <v>4</v>
      </c>
      <c r="D19" s="467" t="s">
        <v>7</v>
      </c>
      <c r="E19" s="466">
        <v>142</v>
      </c>
      <c r="F19" s="468">
        <v>82854.89</v>
      </c>
      <c r="G19" s="468">
        <v>68853.89</v>
      </c>
      <c r="H19" s="468">
        <v>19579</v>
      </c>
      <c r="I19" s="468">
        <v>49274.89</v>
      </c>
      <c r="J19" s="468">
        <v>0</v>
      </c>
      <c r="K19" s="468">
        <v>49274.89</v>
      </c>
      <c r="L19" s="468">
        <v>14001</v>
      </c>
      <c r="M19" s="437"/>
    </row>
    <row r="20" spans="1:13" ht="20.100000000000001" customHeight="1" x14ac:dyDescent="0.2">
      <c r="A20" s="410" t="str">
        <f t="shared" si="0"/>
        <v>174233-3-142</v>
      </c>
      <c r="B20" s="469">
        <v>174233</v>
      </c>
      <c r="C20" s="470">
        <v>3</v>
      </c>
      <c r="D20" s="471" t="s">
        <v>8</v>
      </c>
      <c r="E20" s="470">
        <v>142</v>
      </c>
      <c r="F20" s="472">
        <v>199895.49</v>
      </c>
      <c r="G20" s="472">
        <v>198761.88</v>
      </c>
      <c r="H20" s="472">
        <v>8389.85</v>
      </c>
      <c r="I20" s="472">
        <v>190372.03</v>
      </c>
      <c r="J20" s="472">
        <v>81288.14</v>
      </c>
      <c r="K20" s="472">
        <v>109083.89</v>
      </c>
      <c r="L20" s="472">
        <v>1133.6099999999999</v>
      </c>
      <c r="M20" s="438"/>
    </row>
    <row r="21" spans="1:13" ht="20.100000000000001" customHeight="1" x14ac:dyDescent="0.2">
      <c r="A21" s="410" t="str">
        <f t="shared" si="0"/>
        <v>174233-4-142</v>
      </c>
      <c r="B21" s="465">
        <v>174233</v>
      </c>
      <c r="C21" s="466">
        <v>4</v>
      </c>
      <c r="D21" s="467" t="s">
        <v>7</v>
      </c>
      <c r="E21" s="466">
        <v>142</v>
      </c>
      <c r="F21" s="468">
        <v>139061.16</v>
      </c>
      <c r="G21" s="468">
        <v>139061.16</v>
      </c>
      <c r="H21" s="468">
        <v>133864.16</v>
      </c>
      <c r="I21" s="468">
        <v>5197</v>
      </c>
      <c r="J21" s="468">
        <v>5197</v>
      </c>
      <c r="K21" s="468"/>
      <c r="L21" s="468">
        <v>0</v>
      </c>
      <c r="M21" s="437"/>
    </row>
    <row r="22" spans="1:13" ht="20.100000000000001" customHeight="1" x14ac:dyDescent="0.2">
      <c r="A22" s="410" t="str">
        <f t="shared" si="0"/>
        <v>174234-3-142</v>
      </c>
      <c r="B22" s="469">
        <v>174234</v>
      </c>
      <c r="C22" s="470">
        <v>3</v>
      </c>
      <c r="D22" s="471" t="s">
        <v>8</v>
      </c>
      <c r="E22" s="470">
        <v>142</v>
      </c>
      <c r="F22" s="472">
        <v>359933.22</v>
      </c>
      <c r="G22" s="472">
        <v>314408.59999999998</v>
      </c>
      <c r="H22" s="472">
        <v>100607.19</v>
      </c>
      <c r="I22" s="472">
        <v>213801.41</v>
      </c>
      <c r="J22" s="472">
        <v>54174.77</v>
      </c>
      <c r="K22" s="472">
        <v>159626.64000000001</v>
      </c>
      <c r="L22" s="472">
        <v>45524.62</v>
      </c>
      <c r="M22" s="438"/>
    </row>
    <row r="23" spans="1:13" ht="20.100000000000001" customHeight="1" x14ac:dyDescent="0.2">
      <c r="A23" s="410" t="str">
        <f t="shared" si="0"/>
        <v>174234-4-142</v>
      </c>
      <c r="B23" s="465">
        <v>174234</v>
      </c>
      <c r="C23" s="466">
        <v>4</v>
      </c>
      <c r="D23" s="467" t="s">
        <v>7</v>
      </c>
      <c r="E23" s="466">
        <v>142</v>
      </c>
      <c r="F23" s="468">
        <v>803979</v>
      </c>
      <c r="G23" s="468">
        <v>803979</v>
      </c>
      <c r="H23" s="468">
        <v>542022</v>
      </c>
      <c r="I23" s="468">
        <v>261957</v>
      </c>
      <c r="J23" s="468">
        <v>0</v>
      </c>
      <c r="K23" s="468">
        <v>261957</v>
      </c>
      <c r="L23" s="468">
        <v>0</v>
      </c>
      <c r="M23" s="437"/>
    </row>
    <row r="24" spans="1:13" ht="20.100000000000001" customHeight="1" x14ac:dyDescent="0.2">
      <c r="A24" s="410" t="str">
        <f t="shared" si="0"/>
        <v>174235-3-142</v>
      </c>
      <c r="B24" s="469">
        <v>174235</v>
      </c>
      <c r="C24" s="470">
        <v>3</v>
      </c>
      <c r="D24" s="471" t="s">
        <v>8</v>
      </c>
      <c r="E24" s="470">
        <v>142</v>
      </c>
      <c r="F24" s="472">
        <v>66089.05</v>
      </c>
      <c r="G24" s="472">
        <v>65445.99</v>
      </c>
      <c r="H24" s="472">
        <v>10872.59</v>
      </c>
      <c r="I24" s="472">
        <v>54573.4</v>
      </c>
      <c r="J24" s="472">
        <v>283.98</v>
      </c>
      <c r="K24" s="472">
        <v>54289.42</v>
      </c>
      <c r="L24" s="472">
        <v>643.05999999999995</v>
      </c>
      <c r="M24" s="438"/>
    </row>
    <row r="25" spans="1:13" ht="20.100000000000001" customHeight="1" x14ac:dyDescent="0.2">
      <c r="A25" s="410" t="str">
        <f t="shared" si="0"/>
        <v>174236-3-142</v>
      </c>
      <c r="B25" s="465">
        <v>174236</v>
      </c>
      <c r="C25" s="466">
        <v>3</v>
      </c>
      <c r="D25" s="467" t="s">
        <v>8</v>
      </c>
      <c r="E25" s="466">
        <v>142</v>
      </c>
      <c r="F25" s="468">
        <v>63457.29</v>
      </c>
      <c r="G25" s="468">
        <v>63405.8</v>
      </c>
      <c r="H25" s="468">
        <v>53994.02</v>
      </c>
      <c r="I25" s="468">
        <v>9411.7800000000007</v>
      </c>
      <c r="J25" s="468">
        <v>1386</v>
      </c>
      <c r="K25" s="468">
        <v>8025.78</v>
      </c>
      <c r="L25" s="468">
        <v>51.49</v>
      </c>
      <c r="M25" s="437"/>
    </row>
    <row r="26" spans="1:13" ht="20.100000000000001" customHeight="1" x14ac:dyDescent="0.2">
      <c r="A26" s="410" t="str">
        <f t="shared" si="0"/>
        <v>174236-4-142</v>
      </c>
      <c r="B26" s="469">
        <v>174236</v>
      </c>
      <c r="C26" s="470">
        <v>4</v>
      </c>
      <c r="D26" s="471" t="s">
        <v>7</v>
      </c>
      <c r="E26" s="470">
        <v>142</v>
      </c>
      <c r="F26" s="472">
        <v>1386</v>
      </c>
      <c r="G26" s="472">
        <v>0</v>
      </c>
      <c r="H26" s="472">
        <v>0</v>
      </c>
      <c r="I26" s="472"/>
      <c r="J26" s="472"/>
      <c r="K26" s="472"/>
      <c r="L26" s="472">
        <v>1386</v>
      </c>
      <c r="M26" s="438"/>
    </row>
    <row r="27" spans="1:13" ht="20.100000000000001" customHeight="1" x14ac:dyDescent="0.2">
      <c r="A27" s="410" t="str">
        <f t="shared" si="0"/>
        <v>174237-3-142</v>
      </c>
      <c r="B27" s="465">
        <v>174237</v>
      </c>
      <c r="C27" s="466">
        <v>3</v>
      </c>
      <c r="D27" s="467" t="s">
        <v>8</v>
      </c>
      <c r="E27" s="466">
        <v>142</v>
      </c>
      <c r="F27" s="468">
        <v>309561.78000000003</v>
      </c>
      <c r="G27" s="468">
        <v>302251.90000000002</v>
      </c>
      <c r="H27" s="468">
        <v>124610.42</v>
      </c>
      <c r="I27" s="468">
        <v>177641.48</v>
      </c>
      <c r="J27" s="468">
        <v>6144.9</v>
      </c>
      <c r="K27" s="468">
        <v>171496.58</v>
      </c>
      <c r="L27" s="468">
        <v>281009.88</v>
      </c>
      <c r="M27" s="437"/>
    </row>
    <row r="28" spans="1:13" ht="20.100000000000001" customHeight="1" x14ac:dyDescent="0.2">
      <c r="A28" s="410" t="str">
        <f t="shared" si="0"/>
        <v>174238-3-142</v>
      </c>
      <c r="B28" s="469">
        <v>174238</v>
      </c>
      <c r="C28" s="470">
        <v>3</v>
      </c>
      <c r="D28" s="471" t="s">
        <v>8</v>
      </c>
      <c r="E28" s="470">
        <v>142</v>
      </c>
      <c r="F28" s="472">
        <v>133602.22</v>
      </c>
      <c r="G28" s="472">
        <v>115033.22</v>
      </c>
      <c r="H28" s="472">
        <v>27668.31</v>
      </c>
      <c r="I28" s="472">
        <v>87364.91</v>
      </c>
      <c r="J28" s="472">
        <v>1477.76</v>
      </c>
      <c r="K28" s="472">
        <v>85887.15</v>
      </c>
      <c r="L28" s="472">
        <v>18569</v>
      </c>
      <c r="M28" s="438"/>
    </row>
    <row r="29" spans="1:13" ht="20.100000000000001" customHeight="1" x14ac:dyDescent="0.2">
      <c r="A29" s="410" t="str">
        <f t="shared" si="0"/>
        <v>174239-3-142</v>
      </c>
      <c r="B29" s="465">
        <v>174239</v>
      </c>
      <c r="C29" s="466">
        <v>3</v>
      </c>
      <c r="D29" s="467" t="s">
        <v>8</v>
      </c>
      <c r="E29" s="466">
        <v>142</v>
      </c>
      <c r="F29" s="468">
        <v>2139079.17</v>
      </c>
      <c r="G29" s="468">
        <v>2084735.57</v>
      </c>
      <c r="H29" s="468">
        <v>659122.32999999996</v>
      </c>
      <c r="I29" s="468">
        <v>1425613.24</v>
      </c>
      <c r="J29" s="468">
        <v>332254.77</v>
      </c>
      <c r="K29" s="468">
        <v>1093358.47</v>
      </c>
      <c r="L29" s="468">
        <v>54343.6</v>
      </c>
      <c r="M29" s="437"/>
    </row>
    <row r="30" spans="1:13" ht="20.100000000000001" customHeight="1" x14ac:dyDescent="0.2">
      <c r="A30" s="410" t="str">
        <f t="shared" si="0"/>
        <v>174239-4-142</v>
      </c>
      <c r="B30" s="469">
        <v>174239</v>
      </c>
      <c r="C30" s="470">
        <v>4</v>
      </c>
      <c r="D30" s="471" t="s">
        <v>7</v>
      </c>
      <c r="E30" s="470">
        <v>142</v>
      </c>
      <c r="F30" s="472">
        <v>22215.55</v>
      </c>
      <c r="G30" s="472">
        <v>13948.55</v>
      </c>
      <c r="H30" s="472">
        <v>13456.65</v>
      </c>
      <c r="I30" s="472">
        <v>491.9</v>
      </c>
      <c r="J30" s="472">
        <v>0</v>
      </c>
      <c r="K30" s="472">
        <v>491.9</v>
      </c>
      <c r="L30" s="472">
        <v>8267</v>
      </c>
      <c r="M30" s="438"/>
    </row>
    <row r="31" spans="1:13" ht="20.100000000000001" customHeight="1" x14ac:dyDescent="0.2">
      <c r="A31" s="410" t="str">
        <f t="shared" si="0"/>
        <v>174239-3-150</v>
      </c>
      <c r="B31" s="465">
        <v>174239</v>
      </c>
      <c r="C31" s="466">
        <v>3</v>
      </c>
      <c r="D31" s="467" t="s">
        <v>8</v>
      </c>
      <c r="E31" s="466">
        <v>150</v>
      </c>
      <c r="F31" s="468">
        <v>487031.42</v>
      </c>
      <c r="G31" s="468">
        <v>487031.42</v>
      </c>
      <c r="H31" s="468">
        <v>46397.85</v>
      </c>
      <c r="I31" s="468">
        <v>440633.57</v>
      </c>
      <c r="J31" s="468">
        <v>729.77</v>
      </c>
      <c r="K31" s="468">
        <v>439903.8</v>
      </c>
      <c r="L31" s="468">
        <v>0</v>
      </c>
      <c r="M31" s="437"/>
    </row>
    <row r="32" spans="1:13" ht="20.100000000000001" customHeight="1" x14ac:dyDescent="0.2">
      <c r="A32" s="410" t="str">
        <f t="shared" si="0"/>
        <v>174240-3-142</v>
      </c>
      <c r="B32" s="469">
        <v>174240</v>
      </c>
      <c r="C32" s="470">
        <v>3</v>
      </c>
      <c r="D32" s="471" t="s">
        <v>8</v>
      </c>
      <c r="E32" s="470">
        <v>142</v>
      </c>
      <c r="F32" s="472">
        <v>277125.21000000002</v>
      </c>
      <c r="G32" s="472">
        <v>172460.14</v>
      </c>
      <c r="H32" s="472">
        <v>26155.98</v>
      </c>
      <c r="I32" s="472">
        <v>146304.16</v>
      </c>
      <c r="J32" s="472">
        <v>2329.41</v>
      </c>
      <c r="K32" s="472">
        <v>143974.75</v>
      </c>
      <c r="L32" s="472">
        <v>104665.07</v>
      </c>
      <c r="M32" s="438"/>
    </row>
    <row r="33" spans="1:13" ht="20.100000000000001" customHeight="1" x14ac:dyDescent="0.2">
      <c r="A33" s="410" t="str">
        <f t="shared" si="0"/>
        <v>174240-4-142</v>
      </c>
      <c r="B33" s="465">
        <v>174240</v>
      </c>
      <c r="C33" s="466">
        <v>4</v>
      </c>
      <c r="D33" s="467" t="s">
        <v>7</v>
      </c>
      <c r="E33" s="466">
        <v>142</v>
      </c>
      <c r="F33" s="468">
        <v>40871</v>
      </c>
      <c r="G33" s="468">
        <v>40871</v>
      </c>
      <c r="H33" s="468">
        <v>40871</v>
      </c>
      <c r="I33" s="468"/>
      <c r="J33" s="468"/>
      <c r="K33" s="468"/>
      <c r="L33" s="468">
        <v>0</v>
      </c>
      <c r="M33" s="437"/>
    </row>
    <row r="34" spans="1:13" ht="20.100000000000001" customHeight="1" x14ac:dyDescent="0.2">
      <c r="A34" s="410" t="str">
        <f t="shared" si="0"/>
        <v>174241-3-142</v>
      </c>
      <c r="B34" s="469">
        <v>174241</v>
      </c>
      <c r="C34" s="470">
        <v>3</v>
      </c>
      <c r="D34" s="471" t="s">
        <v>8</v>
      </c>
      <c r="E34" s="470">
        <v>142</v>
      </c>
      <c r="F34" s="472">
        <v>1199375.22</v>
      </c>
      <c r="G34" s="472">
        <v>1135137.21</v>
      </c>
      <c r="H34" s="472">
        <v>301523.09000000003</v>
      </c>
      <c r="I34" s="472">
        <v>833614.12</v>
      </c>
      <c r="J34" s="472">
        <v>3024.53</v>
      </c>
      <c r="K34" s="472">
        <v>830589.59</v>
      </c>
      <c r="L34" s="472">
        <v>64238.01</v>
      </c>
      <c r="M34" s="438"/>
    </row>
    <row r="35" spans="1:13" ht="20.100000000000001" customHeight="1" x14ac:dyDescent="0.2">
      <c r="A35" s="410" t="str">
        <f t="shared" si="0"/>
        <v>174241-4-142</v>
      </c>
      <c r="B35" s="465">
        <v>174241</v>
      </c>
      <c r="C35" s="466">
        <v>4</v>
      </c>
      <c r="D35" s="467" t="s">
        <v>7</v>
      </c>
      <c r="E35" s="466">
        <v>142</v>
      </c>
      <c r="F35" s="468">
        <v>361973.44</v>
      </c>
      <c r="G35" s="468">
        <v>325343.44</v>
      </c>
      <c r="H35" s="468">
        <v>104863.44</v>
      </c>
      <c r="I35" s="468">
        <v>220480</v>
      </c>
      <c r="J35" s="468">
        <v>216182.99</v>
      </c>
      <c r="K35" s="468">
        <v>4297.01</v>
      </c>
      <c r="L35" s="468">
        <v>36630</v>
      </c>
      <c r="M35" s="437"/>
    </row>
    <row r="36" spans="1:13" ht="20.100000000000001" customHeight="1" x14ac:dyDescent="0.2">
      <c r="A36" s="410" t="str">
        <f t="shared" si="0"/>
        <v>174242-3-142</v>
      </c>
      <c r="B36" s="469">
        <v>174242</v>
      </c>
      <c r="C36" s="470">
        <v>3</v>
      </c>
      <c r="D36" s="471" t="s">
        <v>8</v>
      </c>
      <c r="E36" s="470">
        <v>142</v>
      </c>
      <c r="F36" s="472">
        <v>937110.4</v>
      </c>
      <c r="G36" s="472">
        <v>920693.9</v>
      </c>
      <c r="H36" s="472">
        <v>258902.15</v>
      </c>
      <c r="I36" s="472">
        <v>661791.75</v>
      </c>
      <c r="J36" s="472">
        <v>28924.23</v>
      </c>
      <c r="K36" s="472">
        <v>632867.52</v>
      </c>
      <c r="L36" s="472">
        <v>16416.5</v>
      </c>
      <c r="M36" s="438"/>
    </row>
    <row r="37" spans="1:13" ht="20.100000000000001" customHeight="1" x14ac:dyDescent="0.2">
      <c r="A37" s="410" t="str">
        <f t="shared" si="0"/>
        <v>174242-4-142</v>
      </c>
      <c r="B37" s="465">
        <v>174242</v>
      </c>
      <c r="C37" s="466">
        <v>4</v>
      </c>
      <c r="D37" s="467" t="s">
        <v>7</v>
      </c>
      <c r="E37" s="466">
        <v>142</v>
      </c>
      <c r="F37" s="468">
        <v>259809</v>
      </c>
      <c r="G37" s="468">
        <v>259809</v>
      </c>
      <c r="H37" s="468">
        <v>61886</v>
      </c>
      <c r="I37" s="468">
        <v>197923</v>
      </c>
      <c r="J37" s="468">
        <v>197923</v>
      </c>
      <c r="K37" s="468"/>
      <c r="L37" s="468">
        <v>0</v>
      </c>
      <c r="M37" s="437"/>
    </row>
    <row r="38" spans="1:13" ht="20.100000000000001" customHeight="1" x14ac:dyDescent="0.2">
      <c r="A38" s="410" t="str">
        <f t="shared" si="0"/>
        <v>174243-3-142</v>
      </c>
      <c r="B38" s="469">
        <v>174243</v>
      </c>
      <c r="C38" s="470">
        <v>3</v>
      </c>
      <c r="D38" s="471" t="s">
        <v>8</v>
      </c>
      <c r="E38" s="470">
        <v>142</v>
      </c>
      <c r="F38" s="472">
        <v>89960.5</v>
      </c>
      <c r="G38" s="472">
        <v>88547.33</v>
      </c>
      <c r="H38" s="472">
        <v>8261.2800000000007</v>
      </c>
      <c r="I38" s="472">
        <v>80286.05</v>
      </c>
      <c r="J38" s="472">
        <v>28262.240000000002</v>
      </c>
      <c r="K38" s="472">
        <v>52023.81</v>
      </c>
      <c r="L38" s="472">
        <v>1413.17</v>
      </c>
      <c r="M38" s="438"/>
    </row>
    <row r="39" spans="1:13" ht="20.100000000000001" customHeight="1" x14ac:dyDescent="0.2">
      <c r="A39" s="410" t="str">
        <f t="shared" si="0"/>
        <v>174244-3-142</v>
      </c>
      <c r="B39" s="465">
        <v>174244</v>
      </c>
      <c r="C39" s="466">
        <v>3</v>
      </c>
      <c r="D39" s="467" t="s">
        <v>8</v>
      </c>
      <c r="E39" s="466">
        <v>142</v>
      </c>
      <c r="F39" s="468">
        <v>85011.48</v>
      </c>
      <c r="G39" s="468">
        <v>85011.48</v>
      </c>
      <c r="H39" s="468">
        <v>85011.48</v>
      </c>
      <c r="I39" s="468"/>
      <c r="J39" s="468"/>
      <c r="K39" s="468"/>
      <c r="L39" s="468">
        <v>0</v>
      </c>
      <c r="M39" s="437"/>
    </row>
    <row r="40" spans="1:13" ht="20.100000000000001" customHeight="1" x14ac:dyDescent="0.2">
      <c r="A40" s="410" t="str">
        <f t="shared" si="0"/>
        <v>174245-3-142</v>
      </c>
      <c r="B40" s="469">
        <v>174245</v>
      </c>
      <c r="C40" s="470">
        <v>3</v>
      </c>
      <c r="D40" s="471" t="s">
        <v>8</v>
      </c>
      <c r="E40" s="470">
        <v>142</v>
      </c>
      <c r="F40" s="472">
        <v>1016341.66</v>
      </c>
      <c r="G40" s="472">
        <v>1015706.66</v>
      </c>
      <c r="H40" s="472">
        <v>218232.65</v>
      </c>
      <c r="I40" s="472">
        <v>797474.01</v>
      </c>
      <c r="J40" s="472">
        <v>388937.6</v>
      </c>
      <c r="K40" s="472">
        <v>408536.41</v>
      </c>
      <c r="L40" s="472">
        <v>635</v>
      </c>
      <c r="M40" s="438"/>
    </row>
    <row r="41" spans="1:13" ht="20.100000000000001" customHeight="1" x14ac:dyDescent="0.2">
      <c r="A41" s="410" t="str">
        <f t="shared" si="0"/>
        <v>174245-4-142</v>
      </c>
      <c r="B41" s="465">
        <v>174245</v>
      </c>
      <c r="C41" s="466">
        <v>4</v>
      </c>
      <c r="D41" s="467" t="s">
        <v>7</v>
      </c>
      <c r="E41" s="466">
        <v>142</v>
      </c>
      <c r="F41" s="468">
        <v>383411</v>
      </c>
      <c r="G41" s="468">
        <v>383411</v>
      </c>
      <c r="H41" s="468">
        <v>36360</v>
      </c>
      <c r="I41" s="468">
        <v>347051</v>
      </c>
      <c r="J41" s="468">
        <v>128681.47</v>
      </c>
      <c r="K41" s="468">
        <v>218369.53</v>
      </c>
      <c r="L41" s="468">
        <v>0</v>
      </c>
      <c r="M41" s="437"/>
    </row>
    <row r="42" spans="1:13" ht="20.100000000000001" customHeight="1" x14ac:dyDescent="0.2">
      <c r="A42" s="410" t="str">
        <f t="shared" si="0"/>
        <v>174246-3-142</v>
      </c>
      <c r="B42" s="469">
        <v>174246</v>
      </c>
      <c r="C42" s="470">
        <v>3</v>
      </c>
      <c r="D42" s="471" t="s">
        <v>8</v>
      </c>
      <c r="E42" s="470">
        <v>142</v>
      </c>
      <c r="F42" s="472">
        <v>234367.71</v>
      </c>
      <c r="G42" s="472">
        <v>234367.71</v>
      </c>
      <c r="H42" s="472">
        <v>230000</v>
      </c>
      <c r="I42" s="472">
        <v>4367.71</v>
      </c>
      <c r="J42" s="472">
        <v>0</v>
      </c>
      <c r="K42" s="472">
        <v>4367.71</v>
      </c>
      <c r="L42" s="472">
        <v>0</v>
      </c>
      <c r="M42" s="438"/>
    </row>
    <row r="43" spans="1:13" ht="20.100000000000001" customHeight="1" x14ac:dyDescent="0.2">
      <c r="A43" s="410" t="str">
        <f t="shared" si="0"/>
        <v>174247-3-142</v>
      </c>
      <c r="B43" s="465">
        <v>174247</v>
      </c>
      <c r="C43" s="466">
        <v>3</v>
      </c>
      <c r="D43" s="467" t="s">
        <v>8</v>
      </c>
      <c r="E43" s="466">
        <v>142</v>
      </c>
      <c r="F43" s="468">
        <v>74124.75</v>
      </c>
      <c r="G43" s="468">
        <v>65130</v>
      </c>
      <c r="H43" s="468">
        <v>1330</v>
      </c>
      <c r="I43" s="468">
        <v>63800</v>
      </c>
      <c r="J43" s="468">
        <v>0</v>
      </c>
      <c r="K43" s="468">
        <v>63800</v>
      </c>
      <c r="L43" s="468">
        <v>8994.75</v>
      </c>
      <c r="M43" s="437"/>
    </row>
    <row r="44" spans="1:13" ht="20.100000000000001" customHeight="1" x14ac:dyDescent="0.2">
      <c r="A44" s="410" t="str">
        <f t="shared" si="0"/>
        <v>174249-3-142</v>
      </c>
      <c r="B44" s="469">
        <v>174249</v>
      </c>
      <c r="C44" s="470">
        <v>3</v>
      </c>
      <c r="D44" s="471" t="s">
        <v>8</v>
      </c>
      <c r="E44" s="470">
        <v>142</v>
      </c>
      <c r="F44" s="472">
        <v>208335.02</v>
      </c>
      <c r="G44" s="472">
        <v>180157.99</v>
      </c>
      <c r="H44" s="472">
        <v>51649.98</v>
      </c>
      <c r="I44" s="472">
        <v>128508.01</v>
      </c>
      <c r="J44" s="472">
        <v>14203.43</v>
      </c>
      <c r="K44" s="472">
        <v>114304.58</v>
      </c>
      <c r="L44" s="472">
        <v>28177.03</v>
      </c>
      <c r="M44" s="438"/>
    </row>
    <row r="45" spans="1:13" ht="20.100000000000001" customHeight="1" x14ac:dyDescent="0.2">
      <c r="A45" s="410" t="str">
        <f t="shared" si="0"/>
        <v>174249-4-142</v>
      </c>
      <c r="B45" s="465">
        <v>174249</v>
      </c>
      <c r="C45" s="466">
        <v>4</v>
      </c>
      <c r="D45" s="467" t="s">
        <v>7</v>
      </c>
      <c r="E45" s="466">
        <v>142</v>
      </c>
      <c r="F45" s="468">
        <v>288220</v>
      </c>
      <c r="G45" s="468">
        <v>288220</v>
      </c>
      <c r="H45" s="468">
        <v>288220</v>
      </c>
      <c r="I45" s="468"/>
      <c r="J45" s="468"/>
      <c r="K45" s="468"/>
      <c r="L45" s="468">
        <v>0</v>
      </c>
      <c r="M45" s="437"/>
    </row>
    <row r="46" spans="1:13" ht="20.100000000000001" customHeight="1" x14ac:dyDescent="0.2">
      <c r="A46" s="410" t="str">
        <f t="shared" si="0"/>
        <v>174250-3-142</v>
      </c>
      <c r="B46" s="469">
        <v>174250</v>
      </c>
      <c r="C46" s="470">
        <v>3</v>
      </c>
      <c r="D46" s="471" t="s">
        <v>8</v>
      </c>
      <c r="E46" s="470">
        <v>142</v>
      </c>
      <c r="F46" s="472">
        <v>743372.66</v>
      </c>
      <c r="G46" s="472">
        <v>743372.66</v>
      </c>
      <c r="H46" s="472">
        <v>104342.82</v>
      </c>
      <c r="I46" s="472">
        <v>639029.84</v>
      </c>
      <c r="J46" s="472">
        <v>0</v>
      </c>
      <c r="K46" s="472">
        <v>639029.84</v>
      </c>
      <c r="L46" s="472">
        <v>0</v>
      </c>
      <c r="M46" s="438"/>
    </row>
    <row r="47" spans="1:13" ht="20.100000000000001" customHeight="1" x14ac:dyDescent="0.2">
      <c r="A47" s="410" t="str">
        <f t="shared" si="0"/>
        <v>174250-4-142</v>
      </c>
      <c r="B47" s="465">
        <v>174250</v>
      </c>
      <c r="C47" s="466">
        <v>4</v>
      </c>
      <c r="D47" s="467" t="s">
        <v>7</v>
      </c>
      <c r="E47" s="466">
        <v>142</v>
      </c>
      <c r="F47" s="468">
        <v>212716</v>
      </c>
      <c r="G47" s="468">
        <v>212716</v>
      </c>
      <c r="H47" s="468">
        <v>212716</v>
      </c>
      <c r="I47" s="468"/>
      <c r="J47" s="468"/>
      <c r="K47" s="468"/>
      <c r="L47" s="468">
        <v>0</v>
      </c>
      <c r="M47" s="437"/>
    </row>
    <row r="48" spans="1:13" ht="20.100000000000001" customHeight="1" x14ac:dyDescent="0.2">
      <c r="A48" s="410" t="str">
        <f t="shared" si="0"/>
        <v>174252-3-142</v>
      </c>
      <c r="B48" s="469">
        <v>174252</v>
      </c>
      <c r="C48" s="470">
        <v>3</v>
      </c>
      <c r="D48" s="471" t="s">
        <v>8</v>
      </c>
      <c r="E48" s="470">
        <v>142</v>
      </c>
      <c r="F48" s="472">
        <v>1186574.79</v>
      </c>
      <c r="G48" s="472">
        <v>1089888.71</v>
      </c>
      <c r="H48" s="472">
        <v>361907.9</v>
      </c>
      <c r="I48" s="472">
        <v>727980.81</v>
      </c>
      <c r="J48" s="472">
        <v>51090.26</v>
      </c>
      <c r="K48" s="472">
        <v>676890.55</v>
      </c>
      <c r="L48" s="472">
        <v>96686.080000000002</v>
      </c>
      <c r="M48" s="438"/>
    </row>
    <row r="49" spans="1:13" ht="20.100000000000001" customHeight="1" x14ac:dyDescent="0.2">
      <c r="A49" s="410" t="str">
        <f t="shared" si="0"/>
        <v>174253-3-142</v>
      </c>
      <c r="B49" s="465">
        <v>174253</v>
      </c>
      <c r="C49" s="466">
        <v>3</v>
      </c>
      <c r="D49" s="467" t="s">
        <v>8</v>
      </c>
      <c r="E49" s="466">
        <v>142</v>
      </c>
      <c r="F49" s="468">
        <v>85441.85</v>
      </c>
      <c r="G49" s="468">
        <v>85213.58</v>
      </c>
      <c r="H49" s="468">
        <v>35640</v>
      </c>
      <c r="I49" s="468">
        <v>49573.58</v>
      </c>
      <c r="J49" s="468">
        <v>11094.46</v>
      </c>
      <c r="K49" s="468">
        <v>38479.120000000003</v>
      </c>
      <c r="L49" s="468">
        <v>228.27</v>
      </c>
      <c r="M49" s="437"/>
    </row>
    <row r="50" spans="1:13" ht="20.100000000000001" customHeight="1" x14ac:dyDescent="0.2">
      <c r="A50" s="410" t="str">
        <f t="shared" si="0"/>
        <v>174254-3-142</v>
      </c>
      <c r="B50" s="469">
        <v>174254</v>
      </c>
      <c r="C50" s="470">
        <v>3</v>
      </c>
      <c r="D50" s="471" t="s">
        <v>8</v>
      </c>
      <c r="E50" s="470">
        <v>142</v>
      </c>
      <c r="F50" s="472">
        <v>342647.37</v>
      </c>
      <c r="G50" s="472">
        <v>288309.46999999997</v>
      </c>
      <c r="H50" s="472">
        <v>41435.65</v>
      </c>
      <c r="I50" s="472">
        <v>246873.82</v>
      </c>
      <c r="J50" s="472">
        <v>3675.75</v>
      </c>
      <c r="K50" s="472">
        <v>243198.07</v>
      </c>
      <c r="L50" s="472">
        <v>54337.9</v>
      </c>
      <c r="M50" s="438"/>
    </row>
    <row r="51" spans="1:13" ht="20.100000000000001" customHeight="1" x14ac:dyDescent="0.2">
      <c r="A51" s="410" t="str">
        <f t="shared" si="0"/>
        <v>174256-3-142</v>
      </c>
      <c r="B51" s="465">
        <v>174256</v>
      </c>
      <c r="C51" s="466">
        <v>3</v>
      </c>
      <c r="D51" s="467" t="s">
        <v>8</v>
      </c>
      <c r="E51" s="466">
        <v>142</v>
      </c>
      <c r="F51" s="468">
        <v>298046.99</v>
      </c>
      <c r="G51" s="468">
        <v>58046.99</v>
      </c>
      <c r="H51" s="468">
        <v>58046.99</v>
      </c>
      <c r="I51" s="468"/>
      <c r="J51" s="468"/>
      <c r="K51" s="468"/>
      <c r="L51" s="468">
        <v>240000</v>
      </c>
      <c r="M51" s="437"/>
    </row>
    <row r="52" spans="1:13" ht="20.100000000000001" customHeight="1" x14ac:dyDescent="0.2">
      <c r="A52" s="410" t="str">
        <f t="shared" si="0"/>
        <v>174257-3-142</v>
      </c>
      <c r="B52" s="469">
        <v>174257</v>
      </c>
      <c r="C52" s="470">
        <v>3</v>
      </c>
      <c r="D52" s="471" t="s">
        <v>8</v>
      </c>
      <c r="E52" s="470">
        <v>142</v>
      </c>
      <c r="F52" s="472">
        <v>2245056.23</v>
      </c>
      <c r="G52" s="472">
        <v>569258.09</v>
      </c>
      <c r="H52" s="472">
        <v>26005.52</v>
      </c>
      <c r="I52" s="472">
        <v>543252.56999999995</v>
      </c>
      <c r="J52" s="472">
        <v>2233.63</v>
      </c>
      <c r="K52" s="472">
        <v>541018.93999999994</v>
      </c>
      <c r="L52" s="472">
        <v>1675798.14</v>
      </c>
      <c r="M52" s="438"/>
    </row>
    <row r="53" spans="1:13" ht="20.100000000000001" customHeight="1" x14ac:dyDescent="0.2">
      <c r="A53" s="410" t="str">
        <f t="shared" si="0"/>
        <v>174257-4-142</v>
      </c>
      <c r="B53" s="465">
        <v>174257</v>
      </c>
      <c r="C53" s="466">
        <v>4</v>
      </c>
      <c r="D53" s="467" t="s">
        <v>7</v>
      </c>
      <c r="E53" s="466">
        <v>142</v>
      </c>
      <c r="F53" s="468">
        <v>70000</v>
      </c>
      <c r="G53" s="468">
        <v>70000</v>
      </c>
      <c r="H53" s="468">
        <v>70000</v>
      </c>
      <c r="I53" s="468"/>
      <c r="J53" s="468"/>
      <c r="K53" s="468"/>
      <c r="L53" s="468">
        <v>0</v>
      </c>
      <c r="M53" s="437"/>
    </row>
    <row r="54" spans="1:13" ht="20.100000000000001" customHeight="1" x14ac:dyDescent="0.2">
      <c r="A54" s="410" t="str">
        <f t="shared" si="0"/>
        <v>174258-3-142</v>
      </c>
      <c r="B54" s="469">
        <v>174258</v>
      </c>
      <c r="C54" s="470">
        <v>3</v>
      </c>
      <c r="D54" s="471" t="s">
        <v>8</v>
      </c>
      <c r="E54" s="470">
        <v>142</v>
      </c>
      <c r="F54" s="472">
        <v>585711.67000000004</v>
      </c>
      <c r="G54" s="472">
        <v>469339.58</v>
      </c>
      <c r="H54" s="472">
        <v>37462.730000000003</v>
      </c>
      <c r="I54" s="472">
        <v>431876.85</v>
      </c>
      <c r="J54" s="472">
        <v>1841.81</v>
      </c>
      <c r="K54" s="472">
        <v>430035.04</v>
      </c>
      <c r="L54" s="472">
        <v>116372.09</v>
      </c>
      <c r="M54" s="438"/>
    </row>
    <row r="55" spans="1:13" ht="20.100000000000001" customHeight="1" x14ac:dyDescent="0.2">
      <c r="A55" s="410" t="str">
        <f t="shared" si="0"/>
        <v>174258-4-142</v>
      </c>
      <c r="B55" s="465">
        <v>174258</v>
      </c>
      <c r="C55" s="466">
        <v>4</v>
      </c>
      <c r="D55" s="467" t="s">
        <v>7</v>
      </c>
      <c r="E55" s="466">
        <v>142</v>
      </c>
      <c r="F55" s="468">
        <v>64804</v>
      </c>
      <c r="G55" s="468">
        <v>58895.89</v>
      </c>
      <c r="H55" s="468">
        <v>58895.89</v>
      </c>
      <c r="I55" s="468"/>
      <c r="J55" s="468"/>
      <c r="K55" s="468"/>
      <c r="L55" s="468">
        <v>5908.11</v>
      </c>
      <c r="M55" s="437"/>
    </row>
    <row r="56" spans="1:13" ht="20.100000000000001" customHeight="1" x14ac:dyDescent="0.2">
      <c r="A56" s="410" t="str">
        <f t="shared" si="0"/>
        <v>174259-3-142</v>
      </c>
      <c r="B56" s="469">
        <v>174259</v>
      </c>
      <c r="C56" s="470">
        <v>3</v>
      </c>
      <c r="D56" s="471" t="s">
        <v>8</v>
      </c>
      <c r="E56" s="470">
        <v>142</v>
      </c>
      <c r="F56" s="472">
        <v>58865.61</v>
      </c>
      <c r="G56" s="472">
        <v>28182.03</v>
      </c>
      <c r="H56" s="472">
        <v>0</v>
      </c>
      <c r="I56" s="472">
        <v>28182.03</v>
      </c>
      <c r="J56" s="472">
        <v>0</v>
      </c>
      <c r="K56" s="472">
        <v>28182.03</v>
      </c>
      <c r="L56" s="472">
        <v>30683.58</v>
      </c>
      <c r="M56" s="438"/>
    </row>
    <row r="57" spans="1:13" ht="20.100000000000001" customHeight="1" x14ac:dyDescent="0.2">
      <c r="A57" s="410" t="str">
        <f t="shared" si="0"/>
        <v>174260-3-142</v>
      </c>
      <c r="B57" s="465">
        <v>174260</v>
      </c>
      <c r="C57" s="466">
        <v>3</v>
      </c>
      <c r="D57" s="467" t="s">
        <v>8</v>
      </c>
      <c r="E57" s="466">
        <v>142</v>
      </c>
      <c r="F57" s="468">
        <v>565175.56000000006</v>
      </c>
      <c r="G57" s="468">
        <v>510977.44</v>
      </c>
      <c r="H57" s="468">
        <v>184630.99</v>
      </c>
      <c r="I57" s="468">
        <v>326346.45</v>
      </c>
      <c r="J57" s="468">
        <v>10187.86</v>
      </c>
      <c r="K57" s="468">
        <v>316158.59000000003</v>
      </c>
      <c r="L57" s="468">
        <v>54198.12</v>
      </c>
      <c r="M57" s="437"/>
    </row>
    <row r="58" spans="1:13" ht="20.100000000000001" customHeight="1" x14ac:dyDescent="0.2">
      <c r="A58" s="410" t="str">
        <f t="shared" si="0"/>
        <v>174261-3-142</v>
      </c>
      <c r="B58" s="469">
        <v>174261</v>
      </c>
      <c r="C58" s="470">
        <v>3</v>
      </c>
      <c r="D58" s="471" t="s">
        <v>8</v>
      </c>
      <c r="E58" s="470">
        <v>142</v>
      </c>
      <c r="F58" s="472">
        <v>5731943.6900000004</v>
      </c>
      <c r="G58" s="472">
        <v>5731943.6900000004</v>
      </c>
      <c r="H58" s="472">
        <v>5373286.2800000003</v>
      </c>
      <c r="I58" s="472">
        <v>358657.41</v>
      </c>
      <c r="J58" s="472">
        <v>119058.08</v>
      </c>
      <c r="K58" s="472">
        <v>239599.33</v>
      </c>
      <c r="L58" s="472">
        <v>0</v>
      </c>
      <c r="M58" s="438"/>
    </row>
    <row r="59" spans="1:13" ht="20.100000000000001" customHeight="1" x14ac:dyDescent="0.2">
      <c r="A59" s="410" t="str">
        <f t="shared" si="0"/>
        <v>174262-3-142</v>
      </c>
      <c r="B59" s="465">
        <v>174262</v>
      </c>
      <c r="C59" s="466">
        <v>3</v>
      </c>
      <c r="D59" s="467" t="s">
        <v>8</v>
      </c>
      <c r="E59" s="466">
        <v>142</v>
      </c>
      <c r="F59" s="468">
        <v>407970.15</v>
      </c>
      <c r="G59" s="468">
        <v>403792.12</v>
      </c>
      <c r="H59" s="468">
        <v>12106.85</v>
      </c>
      <c r="I59" s="468">
        <v>391685.27</v>
      </c>
      <c r="J59" s="468">
        <v>44857.21</v>
      </c>
      <c r="K59" s="468">
        <v>346828.06</v>
      </c>
      <c r="L59" s="468">
        <v>4178.03</v>
      </c>
      <c r="M59" s="437"/>
    </row>
    <row r="60" spans="1:13" ht="20.100000000000001" customHeight="1" x14ac:dyDescent="0.2">
      <c r="A60" s="410" t="str">
        <f t="shared" si="0"/>
        <v>174262-4-142</v>
      </c>
      <c r="B60" s="469">
        <v>174262</v>
      </c>
      <c r="C60" s="470">
        <v>4</v>
      </c>
      <c r="D60" s="471" t="s">
        <v>7</v>
      </c>
      <c r="E60" s="470">
        <v>142</v>
      </c>
      <c r="F60" s="472">
        <v>475000</v>
      </c>
      <c r="G60" s="472">
        <v>475000</v>
      </c>
      <c r="H60" s="472">
        <v>475000</v>
      </c>
      <c r="I60" s="472"/>
      <c r="J60" s="472"/>
      <c r="K60" s="472"/>
      <c r="L60" s="472">
        <v>0</v>
      </c>
      <c r="M60" s="438"/>
    </row>
    <row r="61" spans="1:13" ht="20.100000000000001" customHeight="1" x14ac:dyDescent="0.2">
      <c r="A61" s="410" t="str">
        <f t="shared" si="0"/>
        <v>174263-3-142</v>
      </c>
      <c r="B61" s="465">
        <v>174263</v>
      </c>
      <c r="C61" s="466">
        <v>3</v>
      </c>
      <c r="D61" s="467" t="s">
        <v>8</v>
      </c>
      <c r="E61" s="466">
        <v>142</v>
      </c>
      <c r="F61" s="468">
        <v>128825.78</v>
      </c>
      <c r="G61" s="468">
        <v>126002.42</v>
      </c>
      <c r="H61" s="468">
        <v>44084</v>
      </c>
      <c r="I61" s="468">
        <v>81918.42</v>
      </c>
      <c r="J61" s="468">
        <v>406.54</v>
      </c>
      <c r="K61" s="468">
        <v>81511.88</v>
      </c>
      <c r="L61" s="468">
        <v>2823.36</v>
      </c>
      <c r="M61" s="437"/>
    </row>
    <row r="62" spans="1:13" ht="20.100000000000001" customHeight="1" x14ac:dyDescent="0.2">
      <c r="A62" s="410" t="str">
        <f t="shared" si="0"/>
        <v>174263-4-142</v>
      </c>
      <c r="B62" s="469">
        <v>174263</v>
      </c>
      <c r="C62" s="470">
        <v>4</v>
      </c>
      <c r="D62" s="471" t="s">
        <v>7</v>
      </c>
      <c r="E62" s="470">
        <v>142</v>
      </c>
      <c r="F62" s="472">
        <v>26406</v>
      </c>
      <c r="G62" s="472"/>
      <c r="H62" s="472"/>
      <c r="I62" s="472"/>
      <c r="J62" s="472"/>
      <c r="K62" s="472"/>
      <c r="L62" s="472">
        <v>26406</v>
      </c>
      <c r="M62" s="438"/>
    </row>
    <row r="63" spans="1:13" ht="20.100000000000001" customHeight="1" x14ac:dyDescent="0.2">
      <c r="A63" s="410" t="str">
        <f t="shared" si="0"/>
        <v>174264-3-142</v>
      </c>
      <c r="B63" s="465">
        <v>174264</v>
      </c>
      <c r="C63" s="466">
        <v>3</v>
      </c>
      <c r="D63" s="467" t="s">
        <v>8</v>
      </c>
      <c r="E63" s="466">
        <v>142</v>
      </c>
      <c r="F63" s="468">
        <v>1115367.68</v>
      </c>
      <c r="G63" s="468">
        <v>595788.80000000005</v>
      </c>
      <c r="H63" s="468">
        <v>71673.63</v>
      </c>
      <c r="I63" s="468">
        <v>524115.17</v>
      </c>
      <c r="J63" s="468">
        <v>2759.03</v>
      </c>
      <c r="K63" s="468">
        <v>521356.14</v>
      </c>
      <c r="L63" s="468">
        <v>519578.88</v>
      </c>
      <c r="M63" s="437"/>
    </row>
    <row r="64" spans="1:13" ht="20.100000000000001" customHeight="1" x14ac:dyDescent="0.2">
      <c r="A64" s="410" t="str">
        <f t="shared" si="0"/>
        <v>174264-4-142</v>
      </c>
      <c r="B64" s="469">
        <v>174264</v>
      </c>
      <c r="C64" s="470">
        <v>4</v>
      </c>
      <c r="D64" s="471" t="s">
        <v>7</v>
      </c>
      <c r="E64" s="470">
        <v>142</v>
      </c>
      <c r="F64" s="472">
        <v>213075.55</v>
      </c>
      <c r="G64" s="472">
        <v>213075.55</v>
      </c>
      <c r="H64" s="472">
        <v>177089.55</v>
      </c>
      <c r="I64" s="472">
        <v>35986</v>
      </c>
      <c r="J64" s="472">
        <v>35986</v>
      </c>
      <c r="K64" s="472"/>
      <c r="L64" s="472">
        <v>0</v>
      </c>
      <c r="M64" s="438"/>
    </row>
    <row r="65" spans="1:13" ht="20.100000000000001" customHeight="1" x14ac:dyDescent="0.2">
      <c r="A65" s="410" t="str">
        <f t="shared" si="0"/>
        <v>174265-3-142</v>
      </c>
      <c r="B65" s="465">
        <v>174265</v>
      </c>
      <c r="C65" s="466">
        <v>3</v>
      </c>
      <c r="D65" s="467" t="s">
        <v>8</v>
      </c>
      <c r="E65" s="466">
        <v>142</v>
      </c>
      <c r="F65" s="468">
        <v>233399.34</v>
      </c>
      <c r="G65" s="468">
        <v>217495.51</v>
      </c>
      <c r="H65" s="468">
        <v>79981.52</v>
      </c>
      <c r="I65" s="468">
        <v>137513.99</v>
      </c>
      <c r="J65" s="468">
        <v>5847.35</v>
      </c>
      <c r="K65" s="468">
        <v>131666.64000000001</v>
      </c>
      <c r="L65" s="468">
        <v>15903.83</v>
      </c>
      <c r="M65" s="437"/>
    </row>
    <row r="66" spans="1:13" ht="20.100000000000001" customHeight="1" x14ac:dyDescent="0.2">
      <c r="A66" s="410" t="str">
        <f t="shared" si="0"/>
        <v>174267-3-142</v>
      </c>
      <c r="B66" s="469">
        <v>174267</v>
      </c>
      <c r="C66" s="470">
        <v>3</v>
      </c>
      <c r="D66" s="471" t="s">
        <v>8</v>
      </c>
      <c r="E66" s="470">
        <v>142</v>
      </c>
      <c r="F66" s="472">
        <v>336582.41</v>
      </c>
      <c r="G66" s="472">
        <v>334528.02</v>
      </c>
      <c r="H66" s="472">
        <v>308740.06</v>
      </c>
      <c r="I66" s="472">
        <v>25787.96</v>
      </c>
      <c r="J66" s="472">
        <v>1556.62</v>
      </c>
      <c r="K66" s="472">
        <v>24231.34</v>
      </c>
      <c r="L66" s="472">
        <v>2054.39</v>
      </c>
      <c r="M66" s="438"/>
    </row>
    <row r="67" spans="1:13" ht="20.100000000000001" customHeight="1" x14ac:dyDescent="0.2">
      <c r="A67" s="410" t="str">
        <f t="shared" si="0"/>
        <v>174267-4-142</v>
      </c>
      <c r="B67" s="465">
        <v>174267</v>
      </c>
      <c r="C67" s="466">
        <v>4</v>
      </c>
      <c r="D67" s="467" t="s">
        <v>7</v>
      </c>
      <c r="E67" s="466">
        <v>142</v>
      </c>
      <c r="F67" s="468">
        <v>110000</v>
      </c>
      <c r="G67" s="468">
        <v>110000</v>
      </c>
      <c r="H67" s="468">
        <v>110000</v>
      </c>
      <c r="I67" s="468"/>
      <c r="J67" s="468"/>
      <c r="K67" s="468"/>
      <c r="L67" s="468">
        <v>0</v>
      </c>
      <c r="M67" s="437"/>
    </row>
    <row r="68" spans="1:13" ht="20.100000000000001" customHeight="1" x14ac:dyDescent="0.2">
      <c r="A68" s="410" t="str">
        <f t="shared" si="0"/>
        <v>174268-3-142</v>
      </c>
      <c r="B68" s="469">
        <v>174268</v>
      </c>
      <c r="C68" s="470">
        <v>3</v>
      </c>
      <c r="D68" s="471" t="s">
        <v>8</v>
      </c>
      <c r="E68" s="470">
        <v>142</v>
      </c>
      <c r="F68" s="472">
        <v>232999.27</v>
      </c>
      <c r="G68" s="472">
        <v>199043.16</v>
      </c>
      <c r="H68" s="472">
        <v>51521.29</v>
      </c>
      <c r="I68" s="472">
        <v>147521.87</v>
      </c>
      <c r="J68" s="472">
        <v>10536.4</v>
      </c>
      <c r="K68" s="472">
        <v>136985.47</v>
      </c>
      <c r="L68" s="472">
        <v>33956.11</v>
      </c>
      <c r="M68" s="438"/>
    </row>
    <row r="69" spans="1:13" ht="20.100000000000001" customHeight="1" x14ac:dyDescent="0.2">
      <c r="A69" s="410" t="str">
        <f t="shared" si="0"/>
        <v>174269-3-142</v>
      </c>
      <c r="B69" s="465">
        <v>174269</v>
      </c>
      <c r="C69" s="466">
        <v>3</v>
      </c>
      <c r="D69" s="467" t="s">
        <v>8</v>
      </c>
      <c r="E69" s="466">
        <v>142</v>
      </c>
      <c r="F69" s="468">
        <v>1742979.74</v>
      </c>
      <c r="G69" s="468">
        <v>1461549.41</v>
      </c>
      <c r="H69" s="468">
        <v>393336.63</v>
      </c>
      <c r="I69" s="468">
        <v>1068212.78</v>
      </c>
      <c r="J69" s="468">
        <v>245647.43</v>
      </c>
      <c r="K69" s="468">
        <v>822565.35</v>
      </c>
      <c r="L69" s="468">
        <v>281430.33</v>
      </c>
      <c r="M69" s="437"/>
    </row>
    <row r="70" spans="1:13" ht="20.100000000000001" customHeight="1" x14ac:dyDescent="0.2">
      <c r="A70" s="410" t="str">
        <f t="shared" si="0"/>
        <v>174270-3-142</v>
      </c>
      <c r="B70" s="469">
        <v>174270</v>
      </c>
      <c r="C70" s="470">
        <v>3</v>
      </c>
      <c r="D70" s="471" t="s">
        <v>8</v>
      </c>
      <c r="E70" s="470">
        <v>142</v>
      </c>
      <c r="F70" s="472">
        <v>1210213.8</v>
      </c>
      <c r="G70" s="472">
        <v>1196442.9099999999</v>
      </c>
      <c r="H70" s="472">
        <v>1182411.3799999999</v>
      </c>
      <c r="I70" s="472">
        <v>14031.53</v>
      </c>
      <c r="J70" s="472">
        <v>0</v>
      </c>
      <c r="K70" s="472">
        <v>14031.53</v>
      </c>
      <c r="L70" s="472">
        <v>13770.89</v>
      </c>
      <c r="M70" s="438"/>
    </row>
    <row r="71" spans="1:13" ht="20.100000000000001" customHeight="1" x14ac:dyDescent="0.2">
      <c r="A71" s="410" t="str">
        <f t="shared" ref="A71:A78" si="1">CONCATENATE(B71,"-",C71,"-",E71)</f>
        <v>174271-3-142</v>
      </c>
      <c r="B71" s="465">
        <v>174271</v>
      </c>
      <c r="C71" s="466">
        <v>3</v>
      </c>
      <c r="D71" s="467" t="s">
        <v>8</v>
      </c>
      <c r="E71" s="466">
        <v>142</v>
      </c>
      <c r="F71" s="468">
        <v>225574.57</v>
      </c>
      <c r="G71" s="468">
        <v>158604.85999999999</v>
      </c>
      <c r="H71" s="468">
        <v>34022.519999999997</v>
      </c>
      <c r="I71" s="468">
        <v>124582.34</v>
      </c>
      <c r="J71" s="468">
        <v>334.71</v>
      </c>
      <c r="K71" s="468">
        <v>124247.63</v>
      </c>
      <c r="L71" s="468">
        <v>66969.710000000006</v>
      </c>
      <c r="M71" s="437"/>
    </row>
    <row r="72" spans="1:13" ht="20.100000000000001" customHeight="1" x14ac:dyDescent="0.2">
      <c r="A72" s="410" t="str">
        <f t="shared" si="1"/>
        <v>174272-3-142</v>
      </c>
      <c r="B72" s="469">
        <v>174272</v>
      </c>
      <c r="C72" s="470">
        <v>3</v>
      </c>
      <c r="D72" s="471" t="s">
        <v>8</v>
      </c>
      <c r="E72" s="470">
        <v>142</v>
      </c>
      <c r="F72" s="472">
        <v>303234.24</v>
      </c>
      <c r="G72" s="472">
        <v>264342.28000000003</v>
      </c>
      <c r="H72" s="472">
        <v>150280.98000000001</v>
      </c>
      <c r="I72" s="472">
        <v>114061.3</v>
      </c>
      <c r="J72" s="472">
        <v>1462.33</v>
      </c>
      <c r="K72" s="472">
        <v>112598.97</v>
      </c>
      <c r="L72" s="472">
        <v>38891.96</v>
      </c>
      <c r="M72" s="438"/>
    </row>
    <row r="73" spans="1:13" ht="20.100000000000001" customHeight="1" x14ac:dyDescent="0.2">
      <c r="A73" s="410" t="str">
        <f t="shared" si="1"/>
        <v>174273-3-142</v>
      </c>
      <c r="B73" s="465">
        <v>174273</v>
      </c>
      <c r="C73" s="466">
        <v>3</v>
      </c>
      <c r="D73" s="467" t="s">
        <v>8</v>
      </c>
      <c r="E73" s="466">
        <v>142</v>
      </c>
      <c r="F73" s="468">
        <v>1000000</v>
      </c>
      <c r="G73" s="468">
        <v>1000000</v>
      </c>
      <c r="H73" s="468">
        <v>1000000</v>
      </c>
      <c r="I73" s="468"/>
      <c r="J73" s="468"/>
      <c r="K73" s="468"/>
      <c r="L73" s="468">
        <v>0</v>
      </c>
      <c r="M73" s="437"/>
    </row>
    <row r="74" spans="1:13" ht="20.100000000000001" customHeight="1" x14ac:dyDescent="0.2">
      <c r="A74" s="410" t="str">
        <f t="shared" si="1"/>
        <v>195063-3-100</v>
      </c>
      <c r="B74" s="469">
        <v>195063</v>
      </c>
      <c r="C74" s="470">
        <v>3</v>
      </c>
      <c r="D74" s="471" t="s">
        <v>8</v>
      </c>
      <c r="E74" s="470">
        <v>100</v>
      </c>
      <c r="F74" s="472">
        <v>560715.28</v>
      </c>
      <c r="G74" s="472">
        <v>542185.86</v>
      </c>
      <c r="H74" s="472">
        <v>1411.02</v>
      </c>
      <c r="I74" s="472">
        <v>540774.84</v>
      </c>
      <c r="J74" s="472">
        <v>470.3</v>
      </c>
      <c r="K74" s="472">
        <v>540304.54</v>
      </c>
      <c r="L74" s="472">
        <v>18529.419999999998</v>
      </c>
      <c r="M74" s="438"/>
    </row>
    <row r="75" spans="1:13" ht="20.100000000000001" customHeight="1" x14ac:dyDescent="0.2">
      <c r="A75" s="410" t="str">
        <f t="shared" si="1"/>
        <v>195065-3-100</v>
      </c>
      <c r="B75" s="465">
        <v>195065</v>
      </c>
      <c r="C75" s="466">
        <v>3</v>
      </c>
      <c r="D75" s="467" t="s">
        <v>8</v>
      </c>
      <c r="E75" s="466">
        <v>100</v>
      </c>
      <c r="F75" s="468">
        <v>52355.51</v>
      </c>
      <c r="G75" s="468">
        <v>52112.94</v>
      </c>
      <c r="H75" s="468">
        <v>2724.64</v>
      </c>
      <c r="I75" s="468">
        <v>49388.3</v>
      </c>
      <c r="J75" s="468">
        <v>0</v>
      </c>
      <c r="K75" s="468">
        <v>49388.3</v>
      </c>
      <c r="L75" s="468">
        <v>242.57</v>
      </c>
      <c r="M75" s="437"/>
    </row>
    <row r="76" spans="1:13" ht="20.100000000000001" customHeight="1" x14ac:dyDescent="0.2">
      <c r="A76" s="410" t="str">
        <f t="shared" si="1"/>
        <v>195067-3-100</v>
      </c>
      <c r="B76" s="469">
        <v>195067</v>
      </c>
      <c r="C76" s="470">
        <v>3</v>
      </c>
      <c r="D76" s="471" t="s">
        <v>8</v>
      </c>
      <c r="E76" s="470">
        <v>100</v>
      </c>
      <c r="F76" s="472">
        <v>6161508.9400000004</v>
      </c>
      <c r="G76" s="472">
        <v>6161508.9400000004</v>
      </c>
      <c r="H76" s="472">
        <v>0</v>
      </c>
      <c r="I76" s="472">
        <v>6161508.9400000004</v>
      </c>
      <c r="J76" s="472">
        <v>0</v>
      </c>
      <c r="K76" s="472">
        <v>6161508.9400000004</v>
      </c>
      <c r="L76" s="472">
        <v>0</v>
      </c>
      <c r="M76" s="438"/>
    </row>
    <row r="77" spans="1:13" ht="20.100000000000001" customHeight="1" x14ac:dyDescent="0.2">
      <c r="A77" s="410" t="str">
        <f t="shared" si="1"/>
        <v>204816-3-181</v>
      </c>
      <c r="B77" s="465">
        <v>204816</v>
      </c>
      <c r="C77" s="466">
        <v>3</v>
      </c>
      <c r="D77" s="467" t="s">
        <v>8</v>
      </c>
      <c r="E77" s="466">
        <v>181</v>
      </c>
      <c r="F77" s="468">
        <v>345113.09</v>
      </c>
      <c r="G77" s="468">
        <v>199976.91</v>
      </c>
      <c r="H77" s="468">
        <v>19042.12</v>
      </c>
      <c r="I77" s="468">
        <v>180934.79</v>
      </c>
      <c r="J77" s="468">
        <v>7976.02</v>
      </c>
      <c r="K77" s="468">
        <v>172958.77</v>
      </c>
      <c r="L77" s="468">
        <v>145136.18</v>
      </c>
      <c r="M77" s="437"/>
    </row>
    <row r="78" spans="1:13" ht="20.100000000000001" customHeight="1" x14ac:dyDescent="0.2">
      <c r="A78" s="410" t="str">
        <f t="shared" si="1"/>
        <v>204817-3-181</v>
      </c>
      <c r="B78" s="469">
        <v>204817</v>
      </c>
      <c r="C78" s="470">
        <v>3</v>
      </c>
      <c r="D78" s="471" t="s">
        <v>8</v>
      </c>
      <c r="E78" s="470">
        <v>181</v>
      </c>
      <c r="F78" s="472">
        <v>81438.63</v>
      </c>
      <c r="G78" s="472">
        <v>47336.45</v>
      </c>
      <c r="H78" s="472">
        <v>0</v>
      </c>
      <c r="I78" s="472">
        <v>47336.45</v>
      </c>
      <c r="J78" s="472">
        <v>3356.22</v>
      </c>
      <c r="K78" s="472">
        <v>43980.23</v>
      </c>
      <c r="L78" s="472">
        <v>34102.18</v>
      </c>
      <c r="M78" s="438"/>
    </row>
    <row r="79" spans="1:13" ht="20.100000000000001" customHeight="1" x14ac:dyDescent="0.2">
      <c r="B79" s="476" t="s">
        <v>9</v>
      </c>
      <c r="C79" s="483"/>
      <c r="D79" s="483"/>
      <c r="E79" s="476"/>
      <c r="F79" s="473">
        <v>233023159.93000001</v>
      </c>
      <c r="G79" s="473">
        <v>224558154.19</v>
      </c>
      <c r="H79" s="473">
        <v>44046659.049999997</v>
      </c>
      <c r="I79" s="473">
        <v>180511495.13999999</v>
      </c>
      <c r="J79" s="473">
        <v>9414837.7799999993</v>
      </c>
      <c r="K79" s="473">
        <v>171096657.36000001</v>
      </c>
      <c r="L79" s="473">
        <v>9059020.4299999997</v>
      </c>
      <c r="M79" s="436"/>
    </row>
    <row r="81" spans="7:11" ht="20.100000000000001" customHeight="1" x14ac:dyDescent="0.2">
      <c r="G81" s="458">
        <f>G79-'Execução Orçamentária'!R411</f>
        <v>0</v>
      </c>
      <c r="I81" s="458">
        <f>I79-'Execução Orçamentária'!S411</f>
        <v>0</v>
      </c>
      <c r="K81" s="458">
        <f>K79-'Execução Orçamentária'!T411</f>
        <v>0</v>
      </c>
    </row>
    <row r="84" spans="7:11" ht="20.100000000000001" customHeight="1" x14ac:dyDescent="0.2">
      <c r="I84" s="459"/>
    </row>
  </sheetData>
  <autoFilter ref="A4:M79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79:D79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D11" sqref="D11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2" t="s">
        <v>62</v>
      </c>
      <c r="C3" s="493"/>
      <c r="D3" s="492" t="s">
        <v>63</v>
      </c>
      <c r="E3" s="464" t="s">
        <v>123</v>
      </c>
      <c r="F3" s="460" t="s">
        <v>121</v>
      </c>
    </row>
    <row r="4" spans="1:9" ht="41.45" customHeight="1" x14ac:dyDescent="0.2">
      <c r="B4" s="492"/>
      <c r="C4" s="493"/>
      <c r="D4" s="49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4">
        <v>320314.69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5">
        <v>273700</v>
      </c>
    </row>
    <row r="7" spans="1:9" ht="20.100000000000001" customHeight="1" x14ac:dyDescent="0.2">
      <c r="B7" s="476" t="s">
        <v>9</v>
      </c>
      <c r="C7" s="483"/>
      <c r="D7" s="483"/>
      <c r="E7" s="476"/>
      <c r="F7" s="473">
        <v>594014.68999999994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X9" sqref="X9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5"/>
      <c r="I1" s="505"/>
      <c r="J1" s="505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44715</v>
      </c>
      <c r="V4" s="379"/>
    </row>
    <row r="5" spans="1:33" s="10" customFormat="1" ht="15" customHeight="1" thickTop="1" x14ac:dyDescent="0.2">
      <c r="A5" s="91"/>
      <c r="B5" s="419"/>
      <c r="C5" s="494" t="s">
        <v>59</v>
      </c>
      <c r="D5" s="497" t="s">
        <v>0</v>
      </c>
      <c r="E5" s="494" t="s">
        <v>15</v>
      </c>
      <c r="F5" s="502" t="s">
        <v>16</v>
      </c>
      <c r="G5" s="494" t="s">
        <v>220</v>
      </c>
      <c r="H5" s="500" t="s">
        <v>347</v>
      </c>
      <c r="I5" s="500" t="s">
        <v>65</v>
      </c>
      <c r="J5" s="500" t="s">
        <v>345</v>
      </c>
      <c r="K5" s="500" t="s">
        <v>84</v>
      </c>
      <c r="L5" s="500" t="s">
        <v>346</v>
      </c>
      <c r="M5" s="500" t="s">
        <v>309</v>
      </c>
      <c r="N5" s="500" t="s">
        <v>301</v>
      </c>
      <c r="O5" s="500" t="s">
        <v>17</v>
      </c>
      <c r="P5" s="500" t="s">
        <v>18</v>
      </c>
      <c r="Q5" s="380"/>
      <c r="R5" s="500" t="s">
        <v>19</v>
      </c>
      <c r="S5" s="500" t="s">
        <v>20</v>
      </c>
      <c r="T5" s="500" t="s">
        <v>61</v>
      </c>
      <c r="U5" s="506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5"/>
      <c r="D6" s="498"/>
      <c r="E6" s="495"/>
      <c r="F6" s="503"/>
      <c r="G6" s="495"/>
      <c r="H6" s="501"/>
      <c r="I6" s="501"/>
      <c r="J6" s="501"/>
      <c r="K6" s="501"/>
      <c r="L6" s="501"/>
      <c r="M6" s="501"/>
      <c r="N6" s="501"/>
      <c r="O6" s="501"/>
      <c r="P6" s="501"/>
      <c r="Q6" s="380"/>
      <c r="R6" s="501"/>
      <c r="S6" s="501"/>
      <c r="T6" s="501"/>
      <c r="U6" s="507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5"/>
      <c r="D7" s="498"/>
      <c r="E7" s="495"/>
      <c r="F7" s="503"/>
      <c r="G7" s="495"/>
      <c r="H7" s="501"/>
      <c r="I7" s="501"/>
      <c r="J7" s="501"/>
      <c r="K7" s="501"/>
      <c r="L7" s="501"/>
      <c r="M7" s="501"/>
      <c r="N7" s="501"/>
      <c r="O7" s="501"/>
      <c r="P7" s="501"/>
      <c r="Q7" s="380"/>
      <c r="R7" s="501"/>
      <c r="S7" s="501"/>
      <c r="T7" s="501"/>
      <c r="U7" s="507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6"/>
      <c r="D8" s="499"/>
      <c r="E8" s="496"/>
      <c r="F8" s="504"/>
      <c r="G8" s="496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1519472.37</v>
      </c>
      <c r="P9" s="26">
        <f t="shared" si="0"/>
        <v>345942.62999999995</v>
      </c>
      <c r="Q9" s="35">
        <f>SUM(Q11:Q12)</f>
        <v>0</v>
      </c>
      <c r="R9" s="26">
        <f t="shared" si="0"/>
        <v>1508327.54</v>
      </c>
      <c r="S9" s="26">
        <f t="shared" si="0"/>
        <v>1508327.54</v>
      </c>
      <c r="T9" s="26">
        <f t="shared" si="0"/>
        <v>1508327.54</v>
      </c>
      <c r="U9" s="156">
        <f>+IFERROR((R9/N9),0%)</f>
        <v>0.80857478898797319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1262855.6900000002</v>
      </c>
      <c r="P11" s="31">
        <f t="shared" si="1"/>
        <v>301741.30999999994</v>
      </c>
      <c r="Q11" s="23">
        <f t="shared" ref="Q11:T12" si="2">Q16+Q21+Q26</f>
        <v>0</v>
      </c>
      <c r="R11" s="31">
        <f t="shared" si="2"/>
        <v>1251710.8600000001</v>
      </c>
      <c r="S11" s="31">
        <f t="shared" si="2"/>
        <v>1251710.8600000001</v>
      </c>
      <c r="T11" s="31">
        <f t="shared" si="2"/>
        <v>1251710.8600000001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256616.68</v>
      </c>
      <c r="P12" s="31">
        <f>P17+P22+P27</f>
        <v>44201.320000000007</v>
      </c>
      <c r="Q12" s="23">
        <f t="shared" si="2"/>
        <v>0</v>
      </c>
      <c r="R12" s="31">
        <f t="shared" si="2"/>
        <v>256616.68</v>
      </c>
      <c r="S12" s="31">
        <f t="shared" si="2"/>
        <v>256616.68</v>
      </c>
      <c r="T12" s="31">
        <f t="shared" si="2"/>
        <v>256616.68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1497498.77</v>
      </c>
      <c r="P20" s="228">
        <f t="shared" si="5"/>
        <v>57916.229999999923</v>
      </c>
      <c r="Q20" s="21">
        <f t="shared" si="5"/>
        <v>0</v>
      </c>
      <c r="R20" s="21">
        <f t="shared" si="5"/>
        <v>1486353.94</v>
      </c>
      <c r="S20" s="21">
        <f t="shared" si="5"/>
        <v>1486353.94</v>
      </c>
      <c r="T20" s="21">
        <f t="shared" si="5"/>
        <v>1486353.94</v>
      </c>
      <c r="U20" s="154">
        <f>+IFERROR((R20/N20),0%)</f>
        <v>0.95559959239174108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1240882.0900000001</v>
      </c>
      <c r="P21" s="231">
        <f>+N21-O21</f>
        <v>23714.909999999916</v>
      </c>
      <c r="Q21" s="32"/>
      <c r="R21" s="231">
        <f>IFERROR(VLOOKUP(G21,'Base Execução'!$A:$K,7,FALSE),0)</f>
        <v>1229737.26</v>
      </c>
      <c r="S21" s="231">
        <f>IFERROR(VLOOKUP(G21,'Base Execução'!$A:$K,9,FALSE),0)</f>
        <v>1229737.26</v>
      </c>
      <c r="T21" s="32">
        <f>IFERROR(VLOOKUP(G21,'Base Execução'!$A:$K,11,FALSE),0)</f>
        <v>1229737.26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256616.68</v>
      </c>
      <c r="P22" s="231">
        <f>+N22-O22</f>
        <v>34201.320000000007</v>
      </c>
      <c r="Q22" s="32"/>
      <c r="R22" s="231">
        <f>IFERROR(VLOOKUP(G22,'Base Execução'!$A:$K,7,FALSE),0)</f>
        <v>256616.68</v>
      </c>
      <c r="S22" s="231">
        <f>IFERROR(VLOOKUP(G22,'Base Execução'!$A:$K,9,FALSE),0)</f>
        <v>256616.68</v>
      </c>
      <c r="T22" s="32">
        <f>IFERROR(VLOOKUP(G22,'Base Execução'!$A:$K,11,FALSE),0)</f>
        <v>256616.68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134870.35999999999</v>
      </c>
      <c r="P29" s="26">
        <f t="shared" si="7"/>
        <v>187997.64</v>
      </c>
      <c r="Q29" s="22">
        <f t="shared" si="7"/>
        <v>0</v>
      </c>
      <c r="R29" s="26">
        <f t="shared" si="7"/>
        <v>134870.35999999999</v>
      </c>
      <c r="S29" s="26">
        <f t="shared" si="7"/>
        <v>134870.35999999999</v>
      </c>
      <c r="T29" s="26">
        <f t="shared" si="7"/>
        <v>134870.35999999999</v>
      </c>
      <c r="U29" s="156">
        <f>+IFERROR((R29/N29),0%)</f>
        <v>0.41772600567414542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134870.35999999999</v>
      </c>
      <c r="P31" s="32">
        <f t="shared" si="8"/>
        <v>187997.64</v>
      </c>
      <c r="Q31" s="32">
        <f t="shared" si="8"/>
        <v>0</v>
      </c>
      <c r="R31" s="32">
        <f t="shared" si="8"/>
        <v>134870.35999999999</v>
      </c>
      <c r="S31" s="32">
        <f t="shared" si="8"/>
        <v>134870.35999999999</v>
      </c>
      <c r="T31" s="32">
        <f t="shared" si="8"/>
        <v>134870.35999999999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134870.35999999999</v>
      </c>
      <c r="P34" s="228">
        <f t="shared" si="9"/>
        <v>187997.64</v>
      </c>
      <c r="Q34" s="21">
        <f t="shared" si="9"/>
        <v>0</v>
      </c>
      <c r="R34" s="21">
        <f t="shared" si="9"/>
        <v>134870.35999999999</v>
      </c>
      <c r="S34" s="21">
        <f t="shared" si="9"/>
        <v>134870.35999999999</v>
      </c>
      <c r="T34" s="21">
        <f t="shared" si="9"/>
        <v>134870.35999999999</v>
      </c>
      <c r="U34" s="154">
        <f>+IFERROR((R34/N34),0%)</f>
        <v>0.41772600567414542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134870.35999999999</v>
      </c>
      <c r="P35" s="231">
        <f>+N35-O35</f>
        <v>187997.64</v>
      </c>
      <c r="Q35" s="32"/>
      <c r="R35" s="231">
        <f>IFERROR(VLOOKUP(G35,'Base Execução'!$A:$K,7,FALSE),0)</f>
        <v>134870.35999999999</v>
      </c>
      <c r="S35" s="231">
        <f>IFERROR(VLOOKUP(G35,'Base Execução'!$A:$K,9,FALSE),0)</f>
        <v>134870.35999999999</v>
      </c>
      <c r="T35" s="32">
        <f>IFERROR(VLOOKUP(G35,'Base Execução'!$A:$K,11,FALSE),0)</f>
        <v>134870.35999999999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4123511</v>
      </c>
      <c r="N65" s="26">
        <f t="shared" si="20"/>
        <v>30876489</v>
      </c>
      <c r="O65" s="26">
        <f t="shared" si="20"/>
        <v>25274419.620000001</v>
      </c>
      <c r="P65" s="26">
        <f t="shared" si="20"/>
        <v>5602069.3799999999</v>
      </c>
      <c r="Q65" s="35">
        <f>SUM(Q69:Q72)</f>
        <v>0</v>
      </c>
      <c r="R65" s="26">
        <f t="shared" si="20"/>
        <v>24797477.120000001</v>
      </c>
      <c r="S65" s="26">
        <f t="shared" si="20"/>
        <v>8938734.0300000012</v>
      </c>
      <c r="T65" s="26">
        <f t="shared" si="20"/>
        <v>7755961.8899999997</v>
      </c>
      <c r="U65" s="156">
        <f>+IFERROR((R65/N65),0%)</f>
        <v>0.80311842191642968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3523511</v>
      </c>
      <c r="N69" s="32">
        <f t="shared" si="24"/>
        <v>25726489</v>
      </c>
      <c r="O69" s="32">
        <f t="shared" si="24"/>
        <v>25191564.73</v>
      </c>
      <c r="P69" s="231">
        <f t="shared" si="24"/>
        <v>534924.26999999955</v>
      </c>
      <c r="Q69" s="32">
        <f t="shared" si="24"/>
        <v>0</v>
      </c>
      <c r="R69" s="32">
        <f t="shared" si="24"/>
        <v>24728623.23</v>
      </c>
      <c r="S69" s="32">
        <f t="shared" si="24"/>
        <v>8889459.1400000006</v>
      </c>
      <c r="T69" s="32">
        <f t="shared" si="24"/>
        <v>7706687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600000</v>
      </c>
      <c r="N70" s="32">
        <f t="shared" si="25"/>
        <v>200000</v>
      </c>
      <c r="O70" s="32">
        <f t="shared" si="25"/>
        <v>82854.89</v>
      </c>
      <c r="P70" s="231">
        <f t="shared" si="25"/>
        <v>117145.11</v>
      </c>
      <c r="Q70" s="32">
        <f t="shared" si="25"/>
        <v>0</v>
      </c>
      <c r="R70" s="32">
        <f t="shared" si="25"/>
        <v>68853.89</v>
      </c>
      <c r="S70" s="32">
        <f t="shared" si="25"/>
        <v>49274.89</v>
      </c>
      <c r="T70" s="32">
        <f t="shared" si="25"/>
        <v>49274.89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4123511</v>
      </c>
      <c r="N75" s="21">
        <f t="shared" si="28"/>
        <v>30876489</v>
      </c>
      <c r="O75" s="21">
        <f t="shared" si="28"/>
        <v>25274419.620000001</v>
      </c>
      <c r="P75" s="228">
        <f t="shared" si="28"/>
        <v>5602069.3799999999</v>
      </c>
      <c r="Q75" s="21">
        <f>SUM(Q78:Q81)</f>
        <v>0</v>
      </c>
      <c r="R75" s="21">
        <f>SUM(R76:R81)</f>
        <v>24797477.120000001</v>
      </c>
      <c r="S75" s="21">
        <f>SUM(S76:S81)</f>
        <v>8938734.0300000012</v>
      </c>
      <c r="T75" s="21">
        <f>SUM(T76:T81)</f>
        <v>7755961.8899999997</v>
      </c>
      <c r="U75" s="154">
        <f>+IFERROR((R75/N75),0%)</f>
        <v>0.80311842191642968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3523511</v>
      </c>
      <c r="N78" s="32">
        <f>IFERROR(VLOOKUP(G78,'Base Zero'!$A:$P,16,FALSE),0)</f>
        <v>25726489</v>
      </c>
      <c r="O78" s="32">
        <f>IFERROR(VLOOKUP(G78,'Base Execução'!A:M,6,FALSE),0)+IFERROR(VLOOKUP(G78,'Destaque Liberado pela CPRM'!A:F,6,FALSE),0)</f>
        <v>25191564.73</v>
      </c>
      <c r="P78" s="231">
        <f t="shared" si="33"/>
        <v>534924.26999999955</v>
      </c>
      <c r="Q78" s="320"/>
      <c r="R78" s="231">
        <f>IFERROR(VLOOKUP(G78,'Base Execução'!$A:$K,7,FALSE),0)</f>
        <v>24728623.23</v>
      </c>
      <c r="S78" s="231">
        <f>IFERROR(VLOOKUP(G78,'Base Execução'!$A:$K,9,FALSE),0)</f>
        <v>8889459.1400000006</v>
      </c>
      <c r="T78" s="32">
        <f>IFERROR(VLOOKUP(G78,'Base Execução'!$A:$K,11,FALSE),0)</f>
        <v>7706687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600000</v>
      </c>
      <c r="N79" s="32">
        <f>IFERROR(VLOOKUP(G79,'Base Zero'!$A:$P,16,FALSE),0)</f>
        <v>200000</v>
      </c>
      <c r="O79" s="32">
        <f>IFERROR(VLOOKUP(G79,'Base Execução'!A:M,6,FALSE),0)+IFERROR(VLOOKUP(G79,'Destaque Liberado pela CPRM'!A:F,6,FALSE),0)</f>
        <v>82854.89</v>
      </c>
      <c r="P79" s="231">
        <f t="shared" si="33"/>
        <v>117145.11</v>
      </c>
      <c r="Q79" s="320"/>
      <c r="R79" s="231">
        <f>IFERROR(VLOOKUP(G79,'Base Execução'!$A:$K,7,FALSE),0)</f>
        <v>68853.89</v>
      </c>
      <c r="S79" s="231">
        <f>IFERROR(VLOOKUP(G79,'Base Execução'!$A:$K,9,FALSE),0)</f>
        <v>49274.89</v>
      </c>
      <c r="T79" s="32">
        <f>IFERROR(VLOOKUP(G79,'Base Execução'!$A:$K,11,FALSE),0)</f>
        <v>49274.89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11766071.890000001</v>
      </c>
      <c r="P83" s="26">
        <f t="shared" si="34"/>
        <v>14823035.109999999</v>
      </c>
      <c r="Q83" s="22">
        <f>Q85</f>
        <v>0</v>
      </c>
      <c r="R83" s="26">
        <f t="shared" si="34"/>
        <v>11578532.059999999</v>
      </c>
      <c r="S83" s="26">
        <f t="shared" si="34"/>
        <v>9415550.6600000001</v>
      </c>
      <c r="T83" s="26">
        <f t="shared" si="34"/>
        <v>7561593.0700000003</v>
      </c>
      <c r="U83" s="156">
        <f>+IFERROR((R83/N83),0%)</f>
        <v>0.43546148654033395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11766071.890000001</v>
      </c>
      <c r="P85" s="32">
        <f t="shared" si="35"/>
        <v>14823035.109999999</v>
      </c>
      <c r="Q85" s="32">
        <f t="shared" si="35"/>
        <v>0</v>
      </c>
      <c r="R85" s="32">
        <f t="shared" si="35"/>
        <v>11578532.059999999</v>
      </c>
      <c r="S85" s="32">
        <f t="shared" si="35"/>
        <v>9415550.6600000001</v>
      </c>
      <c r="T85" s="32">
        <f t="shared" si="35"/>
        <v>7561593.0700000003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11386615.970000001</v>
      </c>
      <c r="P89" s="21">
        <f t="shared" si="37"/>
        <v>14204524.029999999</v>
      </c>
      <c r="Q89" s="21">
        <f>Q90</f>
        <v>0</v>
      </c>
      <c r="R89" s="21">
        <f>SUM(R90:R91)</f>
        <v>11221817.539999999</v>
      </c>
      <c r="S89" s="21">
        <f>SUM(S90:S91)</f>
        <v>9195543.6699999999</v>
      </c>
      <c r="T89" s="21">
        <f>SUM(T90:T91)</f>
        <v>7350637.6900000004</v>
      </c>
      <c r="U89" s="154">
        <f>+IFERROR((R89/N89),0%)</f>
        <v>0.43850401115386023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11386615.970000001</v>
      </c>
      <c r="P90" s="231">
        <f>+N90-O90</f>
        <v>14204524.029999999</v>
      </c>
      <c r="Q90" s="32"/>
      <c r="R90" s="231">
        <f>IFERROR(VLOOKUP(G90,'Base Execução'!$A:$K,7,FALSE),0)</f>
        <v>11221817.539999999</v>
      </c>
      <c r="S90" s="231">
        <f>IFERROR(VLOOKUP(G90,'Base Execução'!$A:$K,9,FALSE),0)</f>
        <v>9195543.6699999999</v>
      </c>
      <c r="T90" s="32">
        <f>IFERROR(VLOOKUP(G90,'Base Execução'!$A:$K,11,FALSE),0)</f>
        <v>7350637.6900000004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379455.92</v>
      </c>
      <c r="P93" s="228">
        <f t="shared" si="38"/>
        <v>618511.08000000007</v>
      </c>
      <c r="Q93" s="21">
        <f t="shared" si="38"/>
        <v>0</v>
      </c>
      <c r="R93" s="21">
        <f t="shared" si="38"/>
        <v>356714.52</v>
      </c>
      <c r="S93" s="21">
        <f t="shared" si="38"/>
        <v>220006.99</v>
      </c>
      <c r="T93" s="21">
        <f t="shared" si="38"/>
        <v>210955.38</v>
      </c>
      <c r="U93" s="154">
        <f>+IFERROR((R93/N93),0%)</f>
        <v>0.35744119795544343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379455.92</v>
      </c>
      <c r="P94" s="231">
        <f>+N94-O94</f>
        <v>618511.08000000007</v>
      </c>
      <c r="Q94" s="31"/>
      <c r="R94" s="231">
        <f>IFERROR(VLOOKUP(G94,'Base Execução'!$A:$K,7,FALSE),0)</f>
        <v>356714.52</v>
      </c>
      <c r="S94" s="231">
        <f>IFERROR(VLOOKUP(G94,'Base Execução'!$A:$K,9,FALSE),0)</f>
        <v>220006.99</v>
      </c>
      <c r="T94" s="32">
        <f>IFERROR(VLOOKUP(G94,'Base Execução'!$A:$K,11,FALSE),0)</f>
        <v>210955.38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6774579.7300000004</v>
      </c>
      <c r="P96" s="26">
        <f>SUM(P98:P100)</f>
        <v>13036837.27</v>
      </c>
      <c r="Q96" s="22">
        <f>Q98</f>
        <v>0</v>
      </c>
      <c r="R96" s="26">
        <f t="shared" si="39"/>
        <v>6755807.7400000002</v>
      </c>
      <c r="S96" s="26">
        <f t="shared" si="39"/>
        <v>6751672.0800000001</v>
      </c>
      <c r="T96" s="26">
        <f t="shared" si="39"/>
        <v>6751201.7800000003</v>
      </c>
      <c r="U96" s="156">
        <f>+IFERROR((R96/N96),0%)</f>
        <v>0.34100578166619783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6774579.7300000004</v>
      </c>
      <c r="P98" s="32">
        <f>P104+P111+P118+P121</f>
        <v>13036837.27</v>
      </c>
      <c r="Q98" s="32">
        <f>Q104+Q111+Q118</f>
        <v>0</v>
      </c>
      <c r="R98" s="32">
        <f t="shared" si="40"/>
        <v>6755807.7400000002</v>
      </c>
      <c r="S98" s="32">
        <f t="shared" si="40"/>
        <v>6751672.0800000001</v>
      </c>
      <c r="T98" s="32">
        <f t="shared" si="40"/>
        <v>6751201.7800000003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560715.28</v>
      </c>
      <c r="P102" s="21">
        <f t="shared" si="43"/>
        <v>1388786.72</v>
      </c>
      <c r="Q102" s="31"/>
      <c r="R102" s="21">
        <f>R103+R106</f>
        <v>542185.86</v>
      </c>
      <c r="S102" s="21">
        <f>S103+S106</f>
        <v>540774.84</v>
      </c>
      <c r="T102" s="21">
        <f>T103+T106</f>
        <v>540304.54</v>
      </c>
      <c r="U102" s="154">
        <f>+IFERROR((R102/N102),0%)</f>
        <v>0.27811505707611484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560715.28</v>
      </c>
      <c r="P103" s="228">
        <f>P104+P105</f>
        <v>1388786.72</v>
      </c>
      <c r="Q103" s="21">
        <f>Q104</f>
        <v>0</v>
      </c>
      <c r="R103" s="21">
        <f>R104+R105</f>
        <v>542185.86</v>
      </c>
      <c r="S103" s="21">
        <f>S104+S105</f>
        <v>540774.84</v>
      </c>
      <c r="T103" s="21">
        <f>T104+T105</f>
        <v>540304.54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560715.28</v>
      </c>
      <c r="P104" s="231">
        <f>+N104-O104</f>
        <v>1388786.72</v>
      </c>
      <c r="Q104" s="33"/>
      <c r="R104" s="231">
        <f>IFERROR(VLOOKUP(G104,'Base Execução'!$A:$K,7,FALSE),0)</f>
        <v>542185.86</v>
      </c>
      <c r="S104" s="231">
        <f>IFERROR(VLOOKUP(G104,'Base Execução'!$A:$K,9,FALSE),0)</f>
        <v>540774.84</v>
      </c>
      <c r="T104" s="32">
        <f>IFERROR(VLOOKUP(G104,'Base Execução'!$A:$K,11,FALSE),0)</f>
        <v>540304.54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52355.51</v>
      </c>
      <c r="P109" s="21">
        <f t="shared" si="46"/>
        <v>180821.49</v>
      </c>
      <c r="Q109" s="33"/>
      <c r="R109" s="21">
        <f>R110+R113</f>
        <v>52112.94</v>
      </c>
      <c r="S109" s="21">
        <f>S110+S113</f>
        <v>49388.3</v>
      </c>
      <c r="T109" s="21">
        <f>T110+T113</f>
        <v>49388.3</v>
      </c>
      <c r="U109" s="154">
        <f>+IFERROR((R109/N109),0%)</f>
        <v>0.22349091033849824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52355.51</v>
      </c>
      <c r="P110" s="228">
        <f>P111+P112</f>
        <v>180821.49</v>
      </c>
      <c r="Q110" s="21">
        <f t="shared" si="47"/>
        <v>0</v>
      </c>
      <c r="R110" s="21">
        <f>R111+R112</f>
        <v>52112.94</v>
      </c>
      <c r="S110" s="21">
        <f>S111+S112</f>
        <v>49388.3</v>
      </c>
      <c r="T110" s="21">
        <f>T111+T112</f>
        <v>49388.3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52355.51</v>
      </c>
      <c r="P111" s="231">
        <f>+N111-O111</f>
        <v>180821.49</v>
      </c>
      <c r="Q111" s="33"/>
      <c r="R111" s="231">
        <f>IFERROR(VLOOKUP(G111,'Base Execução'!$A:$K,7,FALSE),0)</f>
        <v>52112.94</v>
      </c>
      <c r="S111" s="231">
        <f>IFERROR(VLOOKUP(G111,'Base Execução'!$A:$K,9,FALSE),0)</f>
        <v>49388.3</v>
      </c>
      <c r="T111" s="32">
        <f>IFERROR(VLOOKUP(G111,'Base Execução'!$A:$K,11,FALSE),0)</f>
        <v>49388.3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6161508.9400000004</v>
      </c>
      <c r="P116" s="21">
        <f t="shared" si="49"/>
        <v>11467229.059999999</v>
      </c>
      <c r="Q116" s="33"/>
      <c r="R116" s="21">
        <f>R117+R120</f>
        <v>6161508.9400000004</v>
      </c>
      <c r="S116" s="21">
        <f>S117+S120</f>
        <v>6161508.9400000004</v>
      </c>
      <c r="T116" s="21">
        <f>T117+T120</f>
        <v>6161508.9400000004</v>
      </c>
      <c r="U116" s="154">
        <f>+IFERROR((R116/N116),0%)</f>
        <v>0.34951503278340174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6161508.9400000004</v>
      </c>
      <c r="P117" s="228">
        <f>P118+P119</f>
        <v>11467229.059999999</v>
      </c>
      <c r="Q117" s="21">
        <f t="shared" si="50"/>
        <v>0</v>
      </c>
      <c r="R117" s="21">
        <f>R118+R119</f>
        <v>6161508.9400000004</v>
      </c>
      <c r="S117" s="21">
        <f>S118+S119</f>
        <v>6161508.9400000004</v>
      </c>
      <c r="T117" s="21">
        <f>T118+T119</f>
        <v>6161508.9400000004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6161508.9400000004</v>
      </c>
      <c r="P118" s="231">
        <f>+N118-O118</f>
        <v>11467229.059999999</v>
      </c>
      <c r="Q118" s="33"/>
      <c r="R118" s="231">
        <f>IFERROR(VLOOKUP(G118,'Base Execução'!$A:$K,7,FALSE),0)</f>
        <v>6161508.9400000004</v>
      </c>
      <c r="S118" s="231">
        <f>IFERROR(VLOOKUP(G118,'Base Execução'!$A:$K,9,FALSE),0)</f>
        <v>6161508.9400000004</v>
      </c>
      <c r="T118" s="32">
        <f>IFERROR(VLOOKUP(G118,'Base Execução'!$A:$K,11,FALSE),0)</f>
        <v>6161508.9400000004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3436635</v>
      </c>
      <c r="L124" s="26">
        <f t="shared" si="52"/>
        <v>343663503</v>
      </c>
      <c r="M124" s="26">
        <f t="shared" si="52"/>
        <v>0</v>
      </c>
      <c r="N124" s="26">
        <f t="shared" si="52"/>
        <v>343663503</v>
      </c>
      <c r="O124" s="26">
        <f t="shared" si="52"/>
        <v>156421348.75999999</v>
      </c>
      <c r="P124" s="26">
        <f t="shared" si="52"/>
        <v>187242154.24000001</v>
      </c>
      <c r="Q124" s="22">
        <f>Q126</f>
        <v>0</v>
      </c>
      <c r="R124" s="26">
        <f t="shared" si="52"/>
        <v>152327218.99000001</v>
      </c>
      <c r="S124" s="26">
        <f t="shared" si="52"/>
        <v>140899398.93000001</v>
      </c>
      <c r="T124" s="26">
        <f t="shared" si="52"/>
        <v>136579310.96000001</v>
      </c>
      <c r="U124" s="156">
        <f>+IFERROR((R124/N124),0%)</f>
        <v>0.44324526072819553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3436635</v>
      </c>
      <c r="L126" s="32">
        <f t="shared" si="53"/>
        <v>343663503</v>
      </c>
      <c r="M126" s="32">
        <f t="shared" si="53"/>
        <v>0</v>
      </c>
      <c r="N126" s="32">
        <f t="shared" si="53"/>
        <v>343663503</v>
      </c>
      <c r="O126" s="32">
        <f t="shared" si="53"/>
        <v>156421348.75999999</v>
      </c>
      <c r="P126" s="32">
        <f t="shared" si="53"/>
        <v>187242154.24000001</v>
      </c>
      <c r="Q126" s="32">
        <f>Q132</f>
        <v>0</v>
      </c>
      <c r="R126" s="32">
        <f>R132+R135</f>
        <v>152327218.99000001</v>
      </c>
      <c r="S126" s="32">
        <f>S132+S135</f>
        <v>140899398.93000001</v>
      </c>
      <c r="T126" s="32">
        <f>T132+T135</f>
        <v>136579310.96000001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3436635</v>
      </c>
      <c r="L130" s="21">
        <f t="shared" si="56"/>
        <v>343663503</v>
      </c>
      <c r="M130" s="21">
        <f t="shared" si="56"/>
        <v>0</v>
      </c>
      <c r="N130" s="21">
        <f t="shared" si="56"/>
        <v>343663503</v>
      </c>
      <c r="O130" s="21">
        <f t="shared" si="56"/>
        <v>156421348.75999999</v>
      </c>
      <c r="P130" s="21">
        <f t="shared" si="56"/>
        <v>187242154.24000001</v>
      </c>
      <c r="Q130" s="21">
        <f t="shared" si="56"/>
        <v>0</v>
      </c>
      <c r="R130" s="21">
        <f>R131+R134</f>
        <v>152327218.99000001</v>
      </c>
      <c r="S130" s="21">
        <f>S131+S134</f>
        <v>140899398.93000001</v>
      </c>
      <c r="T130" s="21">
        <f>T131+T134</f>
        <v>136579310.96000001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3436635</v>
      </c>
      <c r="L131" s="21">
        <f t="shared" si="57"/>
        <v>343663503</v>
      </c>
      <c r="M131" s="21">
        <f t="shared" si="57"/>
        <v>0</v>
      </c>
      <c r="N131" s="21">
        <f t="shared" si="57"/>
        <v>343663503</v>
      </c>
      <c r="O131" s="21">
        <f t="shared" si="57"/>
        <v>156421348.75999999</v>
      </c>
      <c r="P131" s="21">
        <f t="shared" si="57"/>
        <v>187242154.24000001</v>
      </c>
      <c r="Q131" s="21">
        <f>Q132</f>
        <v>0</v>
      </c>
      <c r="R131" s="21">
        <f>R132+R133</f>
        <v>152327218.99000001</v>
      </c>
      <c r="S131" s="21">
        <f>S132+S133</f>
        <v>140899398.93000001</v>
      </c>
      <c r="T131" s="21">
        <f>T132+T133</f>
        <v>136579310.96000001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3436635</v>
      </c>
      <c r="L132" s="32">
        <f>IFERROR(VLOOKUP(G132,'Base Zero'!$A:$L,10,FALSE),0)</f>
        <v>343663503</v>
      </c>
      <c r="M132" s="32">
        <f>+L132-N132</f>
        <v>0</v>
      </c>
      <c r="N132" s="32">
        <f>IFERROR(VLOOKUP(G132,'Base Zero'!$A:$P,16,FALSE),0)</f>
        <v>343663503</v>
      </c>
      <c r="O132" s="32">
        <f>IFERROR(VLOOKUP(G132,'Base Execução'!A:M,6,FALSE),0)+IFERROR(VLOOKUP(G132,'Destaque Liberado pela CPRM'!A:F,6,FALSE),0)</f>
        <v>156421348.75999999</v>
      </c>
      <c r="P132" s="231">
        <f>+N132-O132</f>
        <v>187242154.24000001</v>
      </c>
      <c r="Q132" s="32"/>
      <c r="R132" s="231">
        <f>IFERROR(VLOOKUP(G132,'Base Execução'!$A:$K,7,FALSE),0)</f>
        <v>152327218.99000001</v>
      </c>
      <c r="S132" s="231">
        <f>IFERROR(VLOOKUP(G132,'Base Execução'!$A:$K,9,FALSE),0)</f>
        <v>140899398.93000001</v>
      </c>
      <c r="T132" s="32">
        <f>IFERROR(VLOOKUP(G132,'Base Execução'!$A:$K,11,FALSE),0)</f>
        <v>136579310.96000001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170832</v>
      </c>
      <c r="N138" s="26">
        <f t="shared" si="59"/>
        <v>1279168</v>
      </c>
      <c r="O138" s="26">
        <f t="shared" si="59"/>
        <v>583261.78</v>
      </c>
      <c r="P138" s="26">
        <f t="shared" si="59"/>
        <v>695906.22</v>
      </c>
      <c r="Q138" s="22">
        <f t="shared" si="59"/>
        <v>0</v>
      </c>
      <c r="R138" s="26">
        <f t="shared" si="59"/>
        <v>302251.90000000002</v>
      </c>
      <c r="S138" s="26">
        <f t="shared" si="59"/>
        <v>177641.48</v>
      </c>
      <c r="T138" s="26">
        <f t="shared" si="59"/>
        <v>171496.58</v>
      </c>
      <c r="U138" s="156">
        <f>+IFERROR((R138/N138),0%)</f>
        <v>0.23628788399959977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170832</v>
      </c>
      <c r="N140" s="32">
        <f t="shared" si="60"/>
        <v>1134168</v>
      </c>
      <c r="O140" s="32">
        <f t="shared" si="60"/>
        <v>583261.78</v>
      </c>
      <c r="P140" s="32">
        <f t="shared" si="60"/>
        <v>550906.22</v>
      </c>
      <c r="Q140" s="32">
        <f t="shared" si="60"/>
        <v>0</v>
      </c>
      <c r="R140" s="32">
        <f t="shared" si="60"/>
        <v>302251.90000000002</v>
      </c>
      <c r="S140" s="32">
        <f t="shared" si="60"/>
        <v>177641.48</v>
      </c>
      <c r="T140" s="32">
        <f t="shared" si="60"/>
        <v>171496.58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170832</v>
      </c>
      <c r="N144" s="21">
        <f t="shared" si="62"/>
        <v>1279168</v>
      </c>
      <c r="O144" s="21">
        <f t="shared" si="62"/>
        <v>583261.78</v>
      </c>
      <c r="P144" s="228">
        <f t="shared" si="62"/>
        <v>695906.22</v>
      </c>
      <c r="Q144" s="21">
        <f t="shared" si="62"/>
        <v>0</v>
      </c>
      <c r="R144" s="21">
        <f t="shared" si="62"/>
        <v>302251.90000000002</v>
      </c>
      <c r="S144" s="21">
        <f t="shared" si="62"/>
        <v>177641.48</v>
      </c>
      <c r="T144" s="21">
        <f t="shared" si="62"/>
        <v>171496.58</v>
      </c>
      <c r="U144" s="154">
        <f>+IFERROR((R144/N144),0%)</f>
        <v>0.23628788399959977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170832</v>
      </c>
      <c r="N145" s="32">
        <f>IFERROR(VLOOKUP(G145,'Base Zero'!$A:$P,16,FALSE),0)</f>
        <v>1134168</v>
      </c>
      <c r="O145" s="32">
        <f>IFERROR(VLOOKUP(G145,'Base Execução'!A:M,6,FALSE),0)+IFERROR(VLOOKUP(G145,'Destaque Liberado pela CPRM'!A:F,6,FALSE),0)</f>
        <v>583261.78</v>
      </c>
      <c r="P145" s="231">
        <f>+N145-O145</f>
        <v>550906.22</v>
      </c>
      <c r="Q145" s="32"/>
      <c r="R145" s="231">
        <f>IFERROR(VLOOKUP(G145,'Base Execução'!$A:$K,7,FALSE),0)</f>
        <v>302251.90000000002</v>
      </c>
      <c r="S145" s="231">
        <f>IFERROR(VLOOKUP(G145,'Base Execução'!$A:$K,9,FALSE),0)</f>
        <v>177641.48</v>
      </c>
      <c r="T145" s="32">
        <f>IFERROR(VLOOKUP(G145,'Base Execução'!$A:$K,11,FALSE),0)</f>
        <v>171496.58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2218789</v>
      </c>
      <c r="N148" s="26">
        <f t="shared" si="63"/>
        <v>16581211</v>
      </c>
      <c r="O148" s="26">
        <f t="shared" si="63"/>
        <v>6885284.8799999999</v>
      </c>
      <c r="P148" s="230">
        <f t="shared" si="63"/>
        <v>9695926.1199999973</v>
      </c>
      <c r="Q148" s="35"/>
      <c r="R148" s="230">
        <f>+R150+R151</f>
        <v>6506305.3000000007</v>
      </c>
      <c r="S148" s="230">
        <f>+S150+S151</f>
        <v>504915.43</v>
      </c>
      <c r="T148" s="26">
        <f>+T150+T151</f>
        <v>379621.27</v>
      </c>
      <c r="U148" s="156">
        <f>+IFERROR((R148/N148),0%)</f>
        <v>0.39239023615343904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-500000</v>
      </c>
      <c r="L150" s="32">
        <f t="shared" si="64"/>
        <v>18100000</v>
      </c>
      <c r="M150" s="32">
        <f t="shared" si="64"/>
        <v>1800000</v>
      </c>
      <c r="N150" s="32">
        <f t="shared" si="64"/>
        <v>16300000</v>
      </c>
      <c r="O150" s="32">
        <f t="shared" si="64"/>
        <v>6604074.8200000003</v>
      </c>
      <c r="P150" s="32">
        <f t="shared" si="64"/>
        <v>9695925.1799999978</v>
      </c>
      <c r="Q150" s="32">
        <f t="shared" si="64"/>
        <v>0</v>
      </c>
      <c r="R150" s="32">
        <f t="shared" si="64"/>
        <v>6225356.3000000007</v>
      </c>
      <c r="S150" s="32">
        <f t="shared" si="64"/>
        <v>504915.43</v>
      </c>
      <c r="T150" s="32">
        <f t="shared" si="64"/>
        <v>379621.27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500000</v>
      </c>
      <c r="L151" s="32">
        <f t="shared" si="65"/>
        <v>700000</v>
      </c>
      <c r="M151" s="32">
        <f t="shared" si="65"/>
        <v>418789</v>
      </c>
      <c r="N151" s="32">
        <f t="shared" si="65"/>
        <v>281211</v>
      </c>
      <c r="O151" s="32">
        <f t="shared" si="65"/>
        <v>281210.06</v>
      </c>
      <c r="P151" s="32">
        <f t="shared" si="65"/>
        <v>0.94000000000232831</v>
      </c>
      <c r="Q151" s="32">
        <f t="shared" si="65"/>
        <v>0</v>
      </c>
      <c r="R151" s="32">
        <f t="shared" si="65"/>
        <v>280949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600000</v>
      </c>
      <c r="L154" s="21">
        <f>SUM(L155:L156)</f>
        <v>1200000</v>
      </c>
      <c r="M154" s="21">
        <f t="shared" ref="M154:T154" si="66">SUM(M155:M156)</f>
        <v>418789</v>
      </c>
      <c r="N154" s="21">
        <f t="shared" si="66"/>
        <v>781211</v>
      </c>
      <c r="O154" s="21">
        <f t="shared" si="66"/>
        <v>578650.89</v>
      </c>
      <c r="P154" s="228">
        <f t="shared" si="66"/>
        <v>202560.11</v>
      </c>
      <c r="Q154" s="21">
        <f t="shared" si="66"/>
        <v>0</v>
      </c>
      <c r="R154" s="21">
        <f t="shared" si="66"/>
        <v>496577.53</v>
      </c>
      <c r="S154" s="21">
        <f t="shared" si="66"/>
        <v>59978.65</v>
      </c>
      <c r="T154" s="21">
        <f t="shared" si="66"/>
        <v>57359.17</v>
      </c>
      <c r="U154" s="154">
        <f>+IFERROR((R154/N154),0%)</f>
        <v>0.63565097009642724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100000</v>
      </c>
      <c r="L155" s="32">
        <f>IFERROR(VLOOKUP(G155,'Base Zero'!$A:$L,10,FALSE),0)</f>
        <v>500000</v>
      </c>
      <c r="M155" s="32">
        <f>+L155-N155</f>
        <v>0</v>
      </c>
      <c r="N155" s="32">
        <f>IFERROR(VLOOKUP(G155,'Base Zero'!$A:$P,16,FALSE),0)</f>
        <v>500000</v>
      </c>
      <c r="O155" s="32">
        <f>IFERROR(VLOOKUP(G155,'Base Execução'!A:M,6,FALSE),0)+IFERROR(VLOOKUP(G155,'Destaque Liberado pela CPRM'!A:F,6,FALSE),0)</f>
        <v>297440.83</v>
      </c>
      <c r="P155" s="231">
        <f>+N155-O155</f>
        <v>202559.16999999998</v>
      </c>
      <c r="Q155" s="33"/>
      <c r="R155" s="231">
        <f>IFERROR(VLOOKUP(G155,'Base Execução'!$A:$K,7,FALSE),0)</f>
        <v>215628.53</v>
      </c>
      <c r="S155" s="231">
        <f>IFERROR(VLOOKUP(G155,'Base Execução'!$A:$K,9,FALSE),0)</f>
        <v>59978.65</v>
      </c>
      <c r="T155" s="32">
        <f>IFERROR(VLOOKUP(G155,'Base Execução'!$A:$K,11,FALSE),0)</f>
        <v>57359.17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500000</v>
      </c>
      <c r="L156" s="31">
        <f>IFERROR(VLOOKUP(G156,'Base Zero'!$A:$L,10,FALSE),0)</f>
        <v>700000</v>
      </c>
      <c r="M156" s="31">
        <f>+L156-N156</f>
        <v>418789</v>
      </c>
      <c r="N156" s="32">
        <f>IFERROR(VLOOKUP(G156,'Base Zero'!$A:$P,16,FALSE),0)</f>
        <v>281211</v>
      </c>
      <c r="O156" s="32">
        <f>IFERROR(VLOOKUP(G156,'Base Execução'!A:M,6,FALSE),0)+IFERROR(VLOOKUP(G156,'Destaque Liberado pela CPRM'!A:F,6,FALSE),0)</f>
        <v>281210.06</v>
      </c>
      <c r="P156" s="231">
        <f>+N156-O156</f>
        <v>0.94000000000232831</v>
      </c>
      <c r="Q156" s="35"/>
      <c r="R156" s="231">
        <f>IFERROR(VLOOKUP(G156,'Base Execução'!$A:$K,7,FALSE),0)</f>
        <v>280949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85011.48</v>
      </c>
      <c r="P158" s="228">
        <f t="shared" si="67"/>
        <v>114988.52</v>
      </c>
      <c r="Q158" s="21">
        <f t="shared" si="67"/>
        <v>0</v>
      </c>
      <c r="R158" s="21">
        <f t="shared" si="67"/>
        <v>85011.48</v>
      </c>
      <c r="S158" s="21">
        <f t="shared" si="67"/>
        <v>0</v>
      </c>
      <c r="T158" s="21">
        <f t="shared" si="67"/>
        <v>0</v>
      </c>
      <c r="U158" s="154">
        <f>+IFERROR((R158/N158),0%)</f>
        <v>0.42505739999999997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85011.48</v>
      </c>
      <c r="P159" s="231">
        <f>+N159-O159</f>
        <v>114988.52</v>
      </c>
      <c r="Q159" s="32"/>
      <c r="R159" s="231">
        <f>IFERROR(VLOOKUP(G159,'Base Execução'!$A:$K,7,FALSE),0)</f>
        <v>85011.48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200000</v>
      </c>
      <c r="N161" s="21">
        <f t="shared" si="68"/>
        <v>0</v>
      </c>
      <c r="O161" s="21">
        <f t="shared" si="68"/>
        <v>0</v>
      </c>
      <c r="P161" s="228">
        <f t="shared" si="68"/>
        <v>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200000</v>
      </c>
      <c r="N162" s="32">
        <f>IFERROR(VLOOKUP(G162,'Base Zero'!$A:$P,16,FALSE),0)</f>
        <v>0</v>
      </c>
      <c r="O162" s="32">
        <f>IFERROR(VLOOKUP(G162,'Base Execução'!A:M,6,FALSE),0)+IFERROR(VLOOKUP(G162,'Destaque Liberado pela CPRM'!A:F,6,FALSE),0)</f>
        <v>0</v>
      </c>
      <c r="P162" s="231">
        <f>+N162-O162</f>
        <v>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298046.99</v>
      </c>
      <c r="P164" s="228">
        <f t="shared" si="69"/>
        <v>1953.0100000000093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298046.99</v>
      </c>
      <c r="P165" s="231">
        <f>+N165-O165</f>
        <v>1953.0100000000093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1100000</v>
      </c>
      <c r="N167" s="21">
        <f t="shared" si="70"/>
        <v>14900000</v>
      </c>
      <c r="O167" s="21">
        <f t="shared" si="70"/>
        <v>5731943.6900000004</v>
      </c>
      <c r="P167" s="228">
        <f t="shared" si="70"/>
        <v>9168056.3099999987</v>
      </c>
      <c r="Q167" s="21">
        <f t="shared" si="70"/>
        <v>0</v>
      </c>
      <c r="R167" s="21">
        <f t="shared" si="70"/>
        <v>5731943.6900000004</v>
      </c>
      <c r="S167" s="21">
        <f t="shared" si="70"/>
        <v>358657.41</v>
      </c>
      <c r="T167" s="21">
        <f t="shared" si="70"/>
        <v>239599.33</v>
      </c>
      <c r="U167" s="154">
        <f>+IFERROR((R167/N167),0%)</f>
        <v>0.38469420738255039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1100000</v>
      </c>
      <c r="N168" s="32">
        <f>IFERROR(VLOOKUP(G168,'Base Zero'!$A:$P,16,FALSE),0)</f>
        <v>14900000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9168056.3099999987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358657.41</v>
      </c>
      <c r="T168" s="32">
        <f>IFERROR(VLOOKUP(G168,'Base Execução'!$A:$K,11,FALSE),0)</f>
        <v>239599.33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400000</v>
      </c>
      <c r="N170" s="21">
        <f t="shared" si="71"/>
        <v>0</v>
      </c>
      <c r="O170" s="21">
        <f t="shared" si="71"/>
        <v>0</v>
      </c>
      <c r="P170" s="228">
        <f t="shared" si="71"/>
        <v>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400000</v>
      </c>
      <c r="N171" s="32">
        <f>IFERROR(VLOOKUP(G171,'Base Zero'!$A:$P,16,FALSE),0)</f>
        <v>0</v>
      </c>
      <c r="O171" s="32">
        <f>IFERROR(VLOOKUP(G171,'Base Execução'!A:M,6,FALSE),0)+IFERROR(VLOOKUP(G171,'Destaque Liberado pela CPRM'!A:F,6,FALSE),0)</f>
        <v>0</v>
      </c>
      <c r="P171" s="231">
        <f>+N171-O171</f>
        <v>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-350000</v>
      </c>
      <c r="L173" s="21">
        <f t="shared" ref="L173:T173" si="72">L174</f>
        <v>50000</v>
      </c>
      <c r="M173" s="21">
        <f t="shared" si="72"/>
        <v>50000</v>
      </c>
      <c r="N173" s="21">
        <f t="shared" si="72"/>
        <v>0</v>
      </c>
      <c r="O173" s="21">
        <f t="shared" si="72"/>
        <v>0</v>
      </c>
      <c r="P173" s="228">
        <f t="shared" si="72"/>
        <v>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-350000</v>
      </c>
      <c r="L174" s="32">
        <f>IFERROR(VLOOKUP(G174,'Base Zero'!$A:$L,10,FALSE),0)</f>
        <v>50000</v>
      </c>
      <c r="M174" s="32">
        <f>+L174-N174</f>
        <v>50000</v>
      </c>
      <c r="N174" s="32">
        <f>IFERROR(VLOOKUP(G174,'Base Zero'!$A:$P,16,FALSE),0)</f>
        <v>0</v>
      </c>
      <c r="O174" s="32">
        <f>IFERROR(VLOOKUP(G174,'Base Execução'!A:M,6,FALSE),0)+IFERROR(VLOOKUP(G174,'Destaque Liberado pela CPRM'!A:F,6,FALSE),0)</f>
        <v>0</v>
      </c>
      <c r="P174" s="231">
        <f>+N174-O174</f>
        <v>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-350000</v>
      </c>
      <c r="L176" s="21">
        <f t="shared" ref="L176:T176" si="73">L177</f>
        <v>50000</v>
      </c>
      <c r="M176" s="21">
        <f t="shared" si="73"/>
        <v>50000</v>
      </c>
      <c r="N176" s="21">
        <f t="shared" si="73"/>
        <v>0</v>
      </c>
      <c r="O176" s="21">
        <f t="shared" si="73"/>
        <v>0</v>
      </c>
      <c r="P176" s="228">
        <f t="shared" si="73"/>
        <v>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-350000</v>
      </c>
      <c r="L177" s="32">
        <f>IFERROR(VLOOKUP(G177,'Base Zero'!$A:$L,10,FALSE),0)</f>
        <v>50000</v>
      </c>
      <c r="M177" s="32">
        <f>+L177-N177</f>
        <v>50000</v>
      </c>
      <c r="N177" s="32">
        <f>IFERROR(VLOOKUP(G177,'Base Zero'!$A:$P,16,FALSE),0)</f>
        <v>0</v>
      </c>
      <c r="O177" s="32">
        <f>IFERROR(VLOOKUP(G177,'Base Execução'!A:M,6,FALSE),0)+IFERROR(VLOOKUP(G177,'Destaque Liberado pela CPRM'!A:F,6,FALSE),0)</f>
        <v>0</v>
      </c>
      <c r="P177" s="231">
        <f>+N177-O177</f>
        <v>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100000</v>
      </c>
      <c r="L179" s="21">
        <f t="shared" ref="L179:T179" si="74">L180</f>
        <v>400000</v>
      </c>
      <c r="M179" s="21">
        <f t="shared" si="74"/>
        <v>0</v>
      </c>
      <c r="N179" s="21">
        <f t="shared" si="74"/>
        <v>400000</v>
      </c>
      <c r="O179" s="21">
        <f t="shared" si="74"/>
        <v>191631.83</v>
      </c>
      <c r="P179" s="228">
        <f t="shared" si="74"/>
        <v>208368.17</v>
      </c>
      <c r="Q179" s="21">
        <f t="shared" si="74"/>
        <v>0</v>
      </c>
      <c r="R179" s="21">
        <f t="shared" si="74"/>
        <v>134725.60999999999</v>
      </c>
      <c r="S179" s="21">
        <f t="shared" si="74"/>
        <v>86279.37</v>
      </c>
      <c r="T179" s="21">
        <f t="shared" si="74"/>
        <v>82662.77</v>
      </c>
      <c r="U179" s="154">
        <f>+IFERROR((R179/N179),0%)</f>
        <v>0.33681402499999996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100000</v>
      </c>
      <c r="L180" s="32">
        <f>IFERROR(VLOOKUP(G180,'Base Zero'!$A:$L,10,FALSE),0)</f>
        <v>400000</v>
      </c>
      <c r="M180" s="32">
        <f>+L180-N180</f>
        <v>0</v>
      </c>
      <c r="N180" s="32">
        <f>IFERROR(VLOOKUP(G180,'Base Zero'!$A:$P,16,FALSE),0)</f>
        <v>400000</v>
      </c>
      <c r="O180" s="32">
        <f>IFERROR(VLOOKUP(G180,'Base Execução'!A:M,6,FALSE),0)+IFERROR(VLOOKUP(G180,'Destaque Liberado pela CPRM'!A:F,6,FALSE),0)</f>
        <v>191631.83</v>
      </c>
      <c r="P180" s="231">
        <f>+N180-O180</f>
        <v>208368.17</v>
      </c>
      <c r="Q180" s="35"/>
      <c r="R180" s="231">
        <f>IFERROR(VLOOKUP(G180,'Base Execução'!$A:$K,7,FALSE),0)</f>
        <v>134725.60999999999</v>
      </c>
      <c r="S180" s="231">
        <f>IFERROR(VLOOKUP(G180,'Base Execução'!$A:$K,9,FALSE),0)</f>
        <v>86279.37</v>
      </c>
      <c r="T180" s="32">
        <f>IFERROR(VLOOKUP(G180,'Base Execução'!$A:$K,11,FALSE),0)</f>
        <v>82662.77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589075</v>
      </c>
      <c r="N182" s="26">
        <f t="shared" si="75"/>
        <v>4410925</v>
      </c>
      <c r="O182" s="26">
        <f t="shared" si="75"/>
        <v>1216949.5900000001</v>
      </c>
      <c r="P182" s="26">
        <f t="shared" si="75"/>
        <v>3193975.41</v>
      </c>
      <c r="Q182" s="35">
        <f>SUM(Q184:Q186)</f>
        <v>0</v>
      </c>
      <c r="R182" s="26">
        <f t="shared" si="75"/>
        <v>919660.79000000015</v>
      </c>
      <c r="S182" s="26">
        <f t="shared" si="75"/>
        <v>749303.46000000008</v>
      </c>
      <c r="T182" s="26">
        <f t="shared" si="75"/>
        <v>738795.11</v>
      </c>
      <c r="U182" s="156">
        <f>+IFERROR((R182/N182),0%)</f>
        <v>0.20849612949664756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780626.50000000012</v>
      </c>
      <c r="P184" s="32">
        <f t="shared" si="76"/>
        <v>1919373.5</v>
      </c>
      <c r="Q184" s="32">
        <f t="shared" si="76"/>
        <v>0</v>
      </c>
      <c r="R184" s="32">
        <f t="shared" si="76"/>
        <v>660787.99000000011</v>
      </c>
      <c r="S184" s="32">
        <f t="shared" si="76"/>
        <v>568368.67000000004</v>
      </c>
      <c r="T184" s="32">
        <f t="shared" si="76"/>
        <v>565836.34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589075</v>
      </c>
      <c r="N185" s="32">
        <f t="shared" si="77"/>
        <v>910925</v>
      </c>
      <c r="O185" s="32">
        <f t="shared" si="77"/>
        <v>91210</v>
      </c>
      <c r="P185" s="32">
        <f t="shared" si="77"/>
        <v>819715</v>
      </c>
      <c r="Q185" s="32">
        <f t="shared" ref="Q185" si="78">Q192</f>
        <v>0</v>
      </c>
      <c r="R185" s="32">
        <f t="shared" si="77"/>
        <v>58895.89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345113.09</v>
      </c>
      <c r="P186" s="32">
        <f t="shared" si="79"/>
        <v>454886.91</v>
      </c>
      <c r="Q186" s="32">
        <f t="shared" ref="Q186" si="80">Q193</f>
        <v>0</v>
      </c>
      <c r="R186" s="32">
        <f t="shared" si="79"/>
        <v>199976.91</v>
      </c>
      <c r="S186" s="32">
        <f t="shared" si="79"/>
        <v>180934.79</v>
      </c>
      <c r="T186" s="32">
        <f t="shared" si="79"/>
        <v>172958.77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66089.05</v>
      </c>
      <c r="P190" s="21">
        <f t="shared" si="82"/>
        <v>133910.95000000001</v>
      </c>
      <c r="Q190" s="21">
        <f>SUM(Q191:Q193)</f>
        <v>0</v>
      </c>
      <c r="R190" s="21">
        <f>SUM(R191:R194)</f>
        <v>65445.99</v>
      </c>
      <c r="S190" s="21">
        <f>SUM(S191:S194)</f>
        <v>54573.4</v>
      </c>
      <c r="T190" s="21">
        <f>SUM(T191:T194)</f>
        <v>54289.42</v>
      </c>
      <c r="U190" s="154">
        <f>+IFERROR((R190/N190),0%)</f>
        <v>0.32722994999999999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66089.05</v>
      </c>
      <c r="P191" s="231">
        <f>+N191-O191</f>
        <v>133910.95000000001</v>
      </c>
      <c r="Q191" s="296"/>
      <c r="R191" s="231">
        <f>IFERROR(VLOOKUP(G191,'Base Execução'!$A:$K,7,FALSE),0)</f>
        <v>65445.99</v>
      </c>
      <c r="S191" s="231">
        <f>IFERROR(VLOOKUP(G191,'Base Execução'!$A:$K,9,FALSE),0)</f>
        <v>54573.4</v>
      </c>
      <c r="T191" s="32">
        <f>IFERROR(VLOOKUP(G191,'Base Execução'!$A:$K,11,FALSE),0)</f>
        <v>54289.42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-400000</v>
      </c>
      <c r="L196" s="21">
        <f t="shared" si="83"/>
        <v>2800000</v>
      </c>
      <c r="M196" s="21">
        <f t="shared" si="83"/>
        <v>353445</v>
      </c>
      <c r="N196" s="21">
        <f t="shared" si="83"/>
        <v>2446555</v>
      </c>
      <c r="O196" s="21">
        <f t="shared" si="83"/>
        <v>650515.67000000004</v>
      </c>
      <c r="P196" s="21">
        <f t="shared" si="83"/>
        <v>1796039.33</v>
      </c>
      <c r="Q196" s="21">
        <f t="shared" ref="Q196" si="84">Q197</f>
        <v>0</v>
      </c>
      <c r="R196" s="21">
        <f t="shared" ref="R196" si="85">SUM(R197:R198)</f>
        <v>528235.47</v>
      </c>
      <c r="S196" s="21">
        <f t="shared" ref="S196" si="86">SUM(S197:S198)</f>
        <v>431876.85</v>
      </c>
      <c r="T196" s="21">
        <f t="shared" ref="T196" si="87">SUM(T197:T198)</f>
        <v>430035.04</v>
      </c>
      <c r="U196" s="154">
        <f>+IFERROR((R196/N196),0%)</f>
        <v>0.21590991005720286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585711.67000000004</v>
      </c>
      <c r="P197" s="231">
        <f>+N197-O197</f>
        <v>1214288.33</v>
      </c>
      <c r="Q197" s="296"/>
      <c r="R197" s="231">
        <f>IFERROR(VLOOKUP(G197,'Base Execução'!$A:$K,7,FALSE),0)</f>
        <v>469339.58</v>
      </c>
      <c r="S197" s="231">
        <f>IFERROR(VLOOKUP(G197,'Base Execução'!$A:$K,9,FALSE),0)</f>
        <v>431876.85</v>
      </c>
      <c r="T197" s="32">
        <f>IFERROR(VLOOKUP(G197,'Base Execução'!$A:$K,11,FALSE),0)</f>
        <v>430035.04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-400000</v>
      </c>
      <c r="L198" s="232">
        <f>IFERROR(VLOOKUP(G198,'Base Zero'!$A:$L,10,FALSE),0)</f>
        <v>1000000</v>
      </c>
      <c r="M198" s="232">
        <f>+L198-N198</f>
        <v>353445</v>
      </c>
      <c r="N198" s="32">
        <f>IFERROR(VLOOKUP(G198,'Base Zero'!$A:$P,16,FALSE),0)</f>
        <v>646555</v>
      </c>
      <c r="O198" s="32">
        <f>IFERROR(VLOOKUP(G198,'Base Execução'!A:M,6,FALSE),0)+IFERROR(VLOOKUP(G198,'Destaque Liberado pela CPRM'!A:F,6,FALSE),0)</f>
        <v>64804</v>
      </c>
      <c r="P198" s="231">
        <f>+N198-O198</f>
        <v>581751</v>
      </c>
      <c r="Q198" s="296"/>
      <c r="R198" s="231">
        <f>IFERROR(VLOOKUP(G198,'Base Execução'!$A:$K,7,FALSE),0)</f>
        <v>58895.89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400000</v>
      </c>
      <c r="L200" s="21">
        <f t="shared" si="88"/>
        <v>1200000</v>
      </c>
      <c r="M200" s="21">
        <f t="shared" si="88"/>
        <v>235630</v>
      </c>
      <c r="N200" s="21">
        <f t="shared" si="88"/>
        <v>964370</v>
      </c>
      <c r="O200" s="21">
        <f t="shared" si="88"/>
        <v>155231.78</v>
      </c>
      <c r="P200" s="21">
        <f t="shared" si="88"/>
        <v>809138.22</v>
      </c>
      <c r="Q200" s="21">
        <f t="shared" ref="Q200" si="89">Q201</f>
        <v>0</v>
      </c>
      <c r="R200" s="21">
        <f t="shared" ref="R200" si="90">SUM(R201:R202)</f>
        <v>126002.42</v>
      </c>
      <c r="S200" s="21">
        <f t="shared" ref="S200" si="91">SUM(S201:S202)</f>
        <v>81918.42</v>
      </c>
      <c r="T200" s="21">
        <f t="shared" ref="T200" si="92">SUM(T201:T202)</f>
        <v>81511.88</v>
      </c>
      <c r="U200" s="154">
        <f>+IFERROR((R200/N200),0%)</f>
        <v>0.1306577558406006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128825.78</v>
      </c>
      <c r="P201" s="231">
        <f>+N201-O201</f>
        <v>571174.22</v>
      </c>
      <c r="Q201" s="33"/>
      <c r="R201" s="231">
        <f>IFERROR(VLOOKUP(G201,'Base Execução'!$A:$K,7,FALSE),0)</f>
        <v>126002.42</v>
      </c>
      <c r="S201" s="231">
        <f>IFERROR(VLOOKUP(G201,'Base Execução'!$A:$K,9,FALSE),0)</f>
        <v>81918.42</v>
      </c>
      <c r="T201" s="32">
        <f>IFERROR(VLOOKUP(G201,'Base Execução'!$A:$K,11,FALSE),0)</f>
        <v>81511.88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400000</v>
      </c>
      <c r="L202" s="231">
        <f>IFERROR(VLOOKUP(G202,'Base Zero'!$A:$L,10,FALSE),0)</f>
        <v>500000</v>
      </c>
      <c r="M202" s="232">
        <f>+L202-N202</f>
        <v>235630</v>
      </c>
      <c r="N202" s="32">
        <f>IFERROR(VLOOKUP(G202,'Base Zero'!$A:$P,16,FALSE),0)</f>
        <v>264370</v>
      </c>
      <c r="O202" s="32">
        <f>IFERROR(VLOOKUP(G202,'Base Execução'!A:M,6,FALSE),0)+IFERROR(VLOOKUP(G202,'Destaque Liberado pela CPRM'!A:F,6,FALSE),0)</f>
        <v>26406</v>
      </c>
      <c r="P202" s="231">
        <f>+N202-O202</f>
        <v>237964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345113.09</v>
      </c>
      <c r="P204" s="228">
        <f t="shared" si="93"/>
        <v>454886.91</v>
      </c>
      <c r="Q204" s="21">
        <f t="shared" si="93"/>
        <v>0</v>
      </c>
      <c r="R204" s="21">
        <f t="shared" si="93"/>
        <v>199976.91</v>
      </c>
      <c r="S204" s="21">
        <f t="shared" si="93"/>
        <v>180934.79</v>
      </c>
      <c r="T204" s="32"/>
      <c r="U204" s="154">
        <f>+IFERROR((R204/N204),0%)</f>
        <v>0.2499711375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345113.09</v>
      </c>
      <c r="P205" s="231">
        <f>+N205-O205</f>
        <v>454886.91</v>
      </c>
      <c r="Q205" s="33"/>
      <c r="R205" s="231">
        <f>IFERROR(VLOOKUP(G205,'Base Execução'!$A:$K,7,FALSE),0)</f>
        <v>199976.91</v>
      </c>
      <c r="S205" s="231">
        <f>IFERROR(VLOOKUP(G205,'Base Execução'!$A:$K,9,FALSE),0)</f>
        <v>180934.79</v>
      </c>
      <c r="T205" s="32">
        <f>IFERROR(VLOOKUP(G205,'Base Execução'!$A:$K,11,FALSE),0)</f>
        <v>172958.77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600000</v>
      </c>
      <c r="N207" s="26">
        <f t="shared" si="94"/>
        <v>4400000</v>
      </c>
      <c r="O207" s="26">
        <f t="shared" si="94"/>
        <v>2584854.7199999997</v>
      </c>
      <c r="P207" s="26">
        <f t="shared" si="94"/>
        <v>1815145.28</v>
      </c>
      <c r="Q207" s="22">
        <f>Q209</f>
        <v>0</v>
      </c>
      <c r="R207" s="26">
        <f t="shared" si="94"/>
        <v>2442644.02</v>
      </c>
      <c r="S207" s="26">
        <f t="shared" si="94"/>
        <v>1208106.9300000002</v>
      </c>
      <c r="T207" s="26">
        <f t="shared" si="94"/>
        <v>1102841.8999999999</v>
      </c>
      <c r="U207" s="156">
        <f>+IFERROR((R207/N207),0%)</f>
        <v>0.55514636818181817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-700000</v>
      </c>
      <c r="L209" s="31">
        <f t="shared" si="95"/>
        <v>4000000</v>
      </c>
      <c r="M209" s="31">
        <f t="shared" si="95"/>
        <v>600000</v>
      </c>
      <c r="N209" s="31">
        <f t="shared" si="95"/>
        <v>3400000</v>
      </c>
      <c r="O209" s="31">
        <f t="shared" si="95"/>
        <v>1780875.72</v>
      </c>
      <c r="P209" s="31">
        <f t="shared" si="95"/>
        <v>1619124.28</v>
      </c>
      <c r="Q209" s="31">
        <f t="shared" si="95"/>
        <v>0</v>
      </c>
      <c r="R209" s="31">
        <f t="shared" si="95"/>
        <v>1638665.02</v>
      </c>
      <c r="S209" s="31">
        <f t="shared" si="95"/>
        <v>946149.93</v>
      </c>
      <c r="T209" s="31">
        <f t="shared" si="95"/>
        <v>840884.9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700000</v>
      </c>
      <c r="L210" s="31">
        <f t="shared" si="96"/>
        <v>1000000</v>
      </c>
      <c r="M210" s="31">
        <f t="shared" si="96"/>
        <v>0</v>
      </c>
      <c r="N210" s="31">
        <f t="shared" si="96"/>
        <v>1000000</v>
      </c>
      <c r="O210" s="31">
        <f t="shared" si="96"/>
        <v>803979</v>
      </c>
      <c r="P210" s="31">
        <f t="shared" si="96"/>
        <v>196021</v>
      </c>
      <c r="Q210" s="31"/>
      <c r="R210" s="31">
        <f t="shared" si="96"/>
        <v>803979</v>
      </c>
      <c r="S210" s="31">
        <f t="shared" si="96"/>
        <v>261957</v>
      </c>
      <c r="T210" s="31">
        <f t="shared" si="96"/>
        <v>261957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500000</v>
      </c>
      <c r="L213" s="22">
        <f t="shared" si="97"/>
        <v>1800000</v>
      </c>
      <c r="M213" s="22">
        <f t="shared" si="97"/>
        <v>0</v>
      </c>
      <c r="N213" s="22">
        <f t="shared" si="97"/>
        <v>1800000</v>
      </c>
      <c r="O213" s="22">
        <f t="shared" si="97"/>
        <v>1163912.22</v>
      </c>
      <c r="P213" s="229">
        <f t="shared" si="97"/>
        <v>636087.78</v>
      </c>
      <c r="Q213" s="22">
        <f>Q214</f>
        <v>0</v>
      </c>
      <c r="R213" s="22">
        <f>R214+R215</f>
        <v>1118387.6000000001</v>
      </c>
      <c r="S213" s="22">
        <f>S214+S215</f>
        <v>475758.41000000003</v>
      </c>
      <c r="T213" s="22">
        <f>T214+T215</f>
        <v>421583.64</v>
      </c>
      <c r="U213" s="154">
        <f>+IFERROR((R213/N213),0%)</f>
        <v>0.62132644444444451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-200000</v>
      </c>
      <c r="L214" s="31">
        <f>IFERROR(VLOOKUP(G214,'Base Zero'!$A:$L,10,FALSE),0)</f>
        <v>800000</v>
      </c>
      <c r="M214" s="31">
        <f>+L214-N214</f>
        <v>0</v>
      </c>
      <c r="N214" s="32">
        <f>IFERROR(VLOOKUP(G214,'Base Zero'!$A:$P,16,FALSE),0)</f>
        <v>800000</v>
      </c>
      <c r="O214" s="32">
        <f>IFERROR(VLOOKUP(G214,'Base Execução'!A:M,6,FALSE),0)+IFERROR(VLOOKUP(G214,'Destaque Liberado pela CPRM'!A:F,6,FALSE),0)</f>
        <v>359933.22</v>
      </c>
      <c r="P214" s="232">
        <f>+N214-O214</f>
        <v>440066.78</v>
      </c>
      <c r="Q214" s="31"/>
      <c r="R214" s="231">
        <f>IFERROR(VLOOKUP(G214,'Base Execução'!$A:$K,7,FALSE),0)</f>
        <v>314408.59999999998</v>
      </c>
      <c r="S214" s="231">
        <f>IFERROR(VLOOKUP(G214,'Base Execução'!$A:$K,9,FALSE),0)</f>
        <v>213801.41</v>
      </c>
      <c r="T214" s="32">
        <f>IFERROR(VLOOKUP(G214,'Base Execução'!$A:$K,11,FALSE),0)</f>
        <v>159626.64000000001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700000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803979</v>
      </c>
      <c r="P215" s="232">
        <f>+N215-O215</f>
        <v>196021</v>
      </c>
      <c r="Q215" s="31"/>
      <c r="R215" s="231">
        <f>IFERROR(VLOOKUP(G215,'Base Execução'!$A:$K,7,FALSE),0)</f>
        <v>803979</v>
      </c>
      <c r="S215" s="231">
        <f>IFERROR(VLOOKUP(G215,'Base Execução'!$A:$K,9,FALSE),0)</f>
        <v>261957</v>
      </c>
      <c r="T215" s="32">
        <f>IFERROR(VLOOKUP(G215,'Base Execução'!$A:$K,11,FALSE),0)</f>
        <v>261957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50000</v>
      </c>
      <c r="N217" s="22">
        <f t="shared" si="98"/>
        <v>250000</v>
      </c>
      <c r="O217" s="22">
        <f t="shared" si="98"/>
        <v>234367.71</v>
      </c>
      <c r="P217" s="229">
        <f t="shared" si="98"/>
        <v>15632.290000000008</v>
      </c>
      <c r="Q217" s="22">
        <f t="shared" si="98"/>
        <v>0</v>
      </c>
      <c r="R217" s="22">
        <f t="shared" si="98"/>
        <v>234367.71</v>
      </c>
      <c r="S217" s="22">
        <f t="shared" si="98"/>
        <v>4367.71</v>
      </c>
      <c r="T217" s="22">
        <f t="shared" si="98"/>
        <v>4367.71</v>
      </c>
      <c r="U217" s="154">
        <f>+IFERROR((R217/N217),0%)</f>
        <v>0.93747083999999992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50000</v>
      </c>
      <c r="N218" s="32">
        <f>IFERROR(VLOOKUP(G218,'Base Zero'!$A:$P,16,FALSE),0)</f>
        <v>250000</v>
      </c>
      <c r="O218" s="32">
        <f>IFERROR(VLOOKUP(G218,'Base Execução'!A:M,6,FALSE),0)+IFERROR(VLOOKUP(G218,'Destaque Liberado pela CPRM'!A:F,6,FALSE),0)</f>
        <v>234367.71</v>
      </c>
      <c r="P218" s="232">
        <f>+N218-O218</f>
        <v>15632.290000000008</v>
      </c>
      <c r="Q218" s="31"/>
      <c r="R218" s="231">
        <f>IFERROR(VLOOKUP(G218,'Base Execução'!$A:$K,7,FALSE),0)</f>
        <v>234367.71</v>
      </c>
      <c r="S218" s="231">
        <f>IFERROR(VLOOKUP(G218,'Base Execução'!$A:$K,9,FALSE),0)</f>
        <v>4367.71</v>
      </c>
      <c r="T218" s="32">
        <f>IFERROR(VLOOKUP(G218,'Base Execução'!$A:$K,11,FALSE),0)</f>
        <v>4367.71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-500000</v>
      </c>
      <c r="L220" s="22">
        <f t="shared" si="99"/>
        <v>2900000</v>
      </c>
      <c r="M220" s="22">
        <f t="shared" si="99"/>
        <v>550000</v>
      </c>
      <c r="N220" s="22">
        <f t="shared" si="99"/>
        <v>2350000</v>
      </c>
      <c r="O220" s="22">
        <f t="shared" si="99"/>
        <v>1186574.79</v>
      </c>
      <c r="P220" s="229">
        <f t="shared" si="99"/>
        <v>1163425.21</v>
      </c>
      <c r="Q220" s="22">
        <f t="shared" si="99"/>
        <v>0</v>
      </c>
      <c r="R220" s="22">
        <f t="shared" si="99"/>
        <v>1089888.71</v>
      </c>
      <c r="S220" s="22">
        <f t="shared" si="99"/>
        <v>727980.81</v>
      </c>
      <c r="T220" s="22">
        <f t="shared" si="99"/>
        <v>676890.55</v>
      </c>
      <c r="U220" s="154">
        <f>+IFERROR((R220/N220),0%)</f>
        <v>0.46378242978723405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-500000</v>
      </c>
      <c r="L221" s="31">
        <f>IFERROR(VLOOKUP(G221,'Base Zero'!$A:$L,10,FALSE),0)</f>
        <v>2900000</v>
      </c>
      <c r="M221" s="31">
        <f>+L221-N221</f>
        <v>550000</v>
      </c>
      <c r="N221" s="32">
        <f>IFERROR(VLOOKUP(G221,'Base Zero'!$A:$P,16,FALSE),0)</f>
        <v>2350000</v>
      </c>
      <c r="O221" s="32">
        <f>IFERROR(VLOOKUP(G221,'Base Execução'!A:M,6,FALSE),0)+IFERROR(VLOOKUP(G221,'Destaque Liberado pela CPRM'!A:F,6,FALSE),0)</f>
        <v>1186574.79</v>
      </c>
      <c r="P221" s="232">
        <f>+N221-O221</f>
        <v>1163425.21</v>
      </c>
      <c r="Q221" s="31"/>
      <c r="R221" s="231">
        <f>IFERROR(VLOOKUP(G221,'Base Execução'!$A:$K,7,FALSE),0)</f>
        <v>1089888.71</v>
      </c>
      <c r="S221" s="231">
        <f>IFERROR(VLOOKUP(G221,'Base Execução'!$A:$K,9,FALSE),0)</f>
        <v>727980.81</v>
      </c>
      <c r="T221" s="32">
        <f>IFERROR(VLOOKUP(G221,'Base Execução'!$A:$K,11,FALSE),0)</f>
        <v>676890.55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353445</v>
      </c>
      <c r="N223" s="21">
        <f t="shared" si="100"/>
        <v>2646555</v>
      </c>
      <c r="O223" s="21">
        <f t="shared" si="100"/>
        <v>1046049.16</v>
      </c>
      <c r="P223" s="21">
        <f t="shared" si="100"/>
        <v>1600505.8399999999</v>
      </c>
      <c r="Q223" s="22">
        <f t="shared" si="100"/>
        <v>0</v>
      </c>
      <c r="R223" s="21">
        <f t="shared" si="100"/>
        <v>1044635.99</v>
      </c>
      <c r="S223" s="21">
        <f t="shared" si="100"/>
        <v>719315.89</v>
      </c>
      <c r="T223" s="21">
        <f t="shared" si="100"/>
        <v>691053.64999999991</v>
      </c>
      <c r="U223" s="156">
        <f>+IFERROR((R223/N223),0%)</f>
        <v>0.39471539038485881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833333.16</v>
      </c>
      <c r="P226" s="32">
        <f t="shared" si="102"/>
        <v>1366666.8399999999</v>
      </c>
      <c r="Q226" s="32">
        <f t="shared" si="102"/>
        <v>0</v>
      </c>
      <c r="R226" s="32">
        <f t="shared" si="102"/>
        <v>831919.99</v>
      </c>
      <c r="S226" s="32">
        <f t="shared" si="102"/>
        <v>719315.89</v>
      </c>
      <c r="T226" s="32">
        <f t="shared" si="102"/>
        <v>691053.64999999991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353445</v>
      </c>
      <c r="N227" s="32">
        <f t="shared" si="103"/>
        <v>446555</v>
      </c>
      <c r="O227" s="32">
        <f t="shared" si="103"/>
        <v>212716</v>
      </c>
      <c r="P227" s="32">
        <f t="shared" si="103"/>
        <v>233839</v>
      </c>
      <c r="Q227" s="32">
        <f>Q235+Q242</f>
        <v>0</v>
      </c>
      <c r="R227" s="32">
        <f t="shared" si="103"/>
        <v>212716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89960.5</v>
      </c>
      <c r="P232" s="228">
        <f t="shared" si="106"/>
        <v>110039.5</v>
      </c>
      <c r="Q232" s="21">
        <f t="shared" si="106"/>
        <v>0</v>
      </c>
      <c r="R232" s="21">
        <f t="shared" si="106"/>
        <v>88547.33</v>
      </c>
      <c r="S232" s="21">
        <f t="shared" si="106"/>
        <v>80286.05</v>
      </c>
      <c r="T232" s="21">
        <f t="shared" si="106"/>
        <v>52023.81</v>
      </c>
      <c r="U232" s="154">
        <f>+IFERROR((R232/N232),0%)</f>
        <v>0.44273665000000001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89960.5</v>
      </c>
      <c r="P233" s="231">
        <f>+N233-O233</f>
        <v>110039.5</v>
      </c>
      <c r="Q233" s="32"/>
      <c r="R233" s="231">
        <f>IFERROR(VLOOKUP(G233,'Base Execução'!$A:$K,7,FALSE),0)</f>
        <v>88547.33</v>
      </c>
      <c r="S233" s="231">
        <f>IFERROR(VLOOKUP(G233,'Base Execução'!$A:$K,9,FALSE),0)</f>
        <v>80286.05</v>
      </c>
      <c r="T233" s="32">
        <f>IFERROR(VLOOKUP(G233,'Base Execução'!$A:$K,11,FALSE),0)</f>
        <v>52023.81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353445</v>
      </c>
      <c r="N235" s="21">
        <f t="shared" si="107"/>
        <v>2025555</v>
      </c>
      <c r="O235" s="21">
        <f t="shared" si="107"/>
        <v>956088.66</v>
      </c>
      <c r="P235" s="21">
        <f>SUM(P236:P239)</f>
        <v>1069466.3399999999</v>
      </c>
      <c r="Q235" s="21">
        <f>SUM(Q236:Q238)</f>
        <v>0</v>
      </c>
      <c r="R235" s="21">
        <f>SUM(R236:R239)</f>
        <v>956088.66</v>
      </c>
      <c r="S235" s="21">
        <f>SUM(S236:S239)</f>
        <v>639029.84</v>
      </c>
      <c r="T235" s="21">
        <f>SUM(T236:T239)</f>
        <v>639029.84</v>
      </c>
      <c r="U235" s="154">
        <f>+IFERROR((R235/N235),0%)</f>
        <v>0.47201318157245792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743372.66</v>
      </c>
      <c r="P237" s="231">
        <f>+N237-O237</f>
        <v>835627.34</v>
      </c>
      <c r="Q237" s="33"/>
      <c r="R237" s="231">
        <f>IFERROR(VLOOKUP(G237,'Base Execução'!$A:$K,7,FALSE),0)</f>
        <v>743372.66</v>
      </c>
      <c r="S237" s="231">
        <f>IFERROR(VLOOKUP(G237,'Base Execução'!$A:$K,9,FALSE),0)</f>
        <v>639029.84</v>
      </c>
      <c r="T237" s="32">
        <f>IFERROR(VLOOKUP(G237,'Base Execução'!$A:$K,11,FALSE),0)</f>
        <v>639029.84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353445</v>
      </c>
      <c r="N238" s="32">
        <f>IFERROR(VLOOKUP(G238,'Base Zero'!$A:$P,16,FALSE),0)</f>
        <v>446555</v>
      </c>
      <c r="O238" s="32">
        <f>IFERROR(VLOOKUP(G238,'Base Execução'!A:M,6,FALSE),0)+IFERROR(VLOOKUP(G238,'Destaque Liberado pela CPRM'!A:F,6,FALSE),0)</f>
        <v>212716</v>
      </c>
      <c r="P238" s="231">
        <f>+N238-O238</f>
        <v>233839</v>
      </c>
      <c r="Q238" s="32"/>
      <c r="R238" s="231">
        <f>IFERROR(VLOOKUP(G238,'Base Execução'!$A:$K,7,FALSE),0)</f>
        <v>212716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1178149</v>
      </c>
      <c r="N256" s="21">
        <f t="shared" si="113"/>
        <v>8821851</v>
      </c>
      <c r="O256" s="21">
        <f t="shared" si="113"/>
        <v>4607562.6400000006</v>
      </c>
      <c r="P256" s="21">
        <f t="shared" si="113"/>
        <v>4214288.3599999994</v>
      </c>
      <c r="Q256" s="22">
        <f t="shared" si="113"/>
        <v>0</v>
      </c>
      <c r="R256" s="21">
        <f t="shared" si="113"/>
        <v>4186372.3400000003</v>
      </c>
      <c r="S256" s="21">
        <f t="shared" si="113"/>
        <v>2236368.2000000002</v>
      </c>
      <c r="T256" s="21">
        <f t="shared" si="113"/>
        <v>1770050.92</v>
      </c>
      <c r="U256" s="156">
        <f>+IFERROR((R256/N256),0%)</f>
        <v>0.47454579996873675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1178149</v>
      </c>
      <c r="N258" s="32">
        <f t="shared" si="114"/>
        <v>7821851</v>
      </c>
      <c r="O258" s="32">
        <f t="shared" si="114"/>
        <v>4245589.2</v>
      </c>
      <c r="P258" s="32">
        <f t="shared" si="114"/>
        <v>3576261.8</v>
      </c>
      <c r="Q258" s="32">
        <f t="shared" ref="Q258" si="115">Q264+Q268+Q272+Q275</f>
        <v>0</v>
      </c>
      <c r="R258" s="32">
        <f t="shared" si="114"/>
        <v>3861028.9000000004</v>
      </c>
      <c r="S258" s="32">
        <f t="shared" si="114"/>
        <v>2015888.2</v>
      </c>
      <c r="T258" s="32">
        <f t="shared" si="114"/>
        <v>1765753.91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361973.44</v>
      </c>
      <c r="P259" s="32">
        <f t="shared" si="116"/>
        <v>638026.56000000006</v>
      </c>
      <c r="Q259" s="32">
        <f t="shared" si="116"/>
        <v>0</v>
      </c>
      <c r="R259" s="32">
        <f t="shared" si="116"/>
        <v>325343.44</v>
      </c>
      <c r="S259" s="32">
        <f t="shared" si="116"/>
        <v>220480</v>
      </c>
      <c r="T259" s="32">
        <f t="shared" si="116"/>
        <v>4297.01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1561348.66</v>
      </c>
      <c r="P263" s="22">
        <f t="shared" si="118"/>
        <v>1438650.34</v>
      </c>
      <c r="Q263" s="22">
        <f t="shared" si="118"/>
        <v>0</v>
      </c>
      <c r="R263" s="22">
        <f t="shared" si="118"/>
        <v>1460480.65</v>
      </c>
      <c r="S263" s="22">
        <f t="shared" si="118"/>
        <v>1054094.1200000001</v>
      </c>
      <c r="T263" s="22">
        <f t="shared" si="118"/>
        <v>834886.6</v>
      </c>
      <c r="U263" s="154">
        <f>+IFERROR((R263/N263),0%)</f>
        <v>0.48682704560901519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1199375.22</v>
      </c>
      <c r="P264" s="231">
        <f>+N264-O264</f>
        <v>800623.78</v>
      </c>
      <c r="Q264" s="32"/>
      <c r="R264" s="231">
        <f>IFERROR(VLOOKUP(G264,'Base Execução'!$A:$K,7,FALSE),0)</f>
        <v>1135137.21</v>
      </c>
      <c r="S264" s="231">
        <f>IFERROR(VLOOKUP(G264,'Base Execução'!$A:$K,9,FALSE),0)</f>
        <v>833614.12</v>
      </c>
      <c r="T264" s="32">
        <f>IFERROR(VLOOKUP(G264,'Base Execução'!$A:$K,11,FALSE),0)</f>
        <v>830589.59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361973.44</v>
      </c>
      <c r="P265" s="231">
        <f>+N265-O265</f>
        <v>638026.56000000006</v>
      </c>
      <c r="Q265" s="33"/>
      <c r="R265" s="231">
        <f>IFERROR(VLOOKUP(G265,'Base Execução'!$A:$K,7,FALSE),0)</f>
        <v>325343.44</v>
      </c>
      <c r="S265" s="231">
        <f>IFERROR(VLOOKUP(G265,'Base Execução'!$A:$K,9,FALSE),0)</f>
        <v>220480</v>
      </c>
      <c r="T265" s="32">
        <f>IFERROR(VLOOKUP(G265,'Base Execução'!$A:$K,11,FALSE),0)</f>
        <v>4297.01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589074</v>
      </c>
      <c r="N267" s="22">
        <f t="shared" si="119"/>
        <v>4410926</v>
      </c>
      <c r="O267" s="22">
        <f t="shared" si="119"/>
        <v>1742979.74</v>
      </c>
      <c r="P267" s="229">
        <f t="shared" si="119"/>
        <v>2667946.2599999998</v>
      </c>
      <c r="Q267" s="22">
        <f t="shared" si="119"/>
        <v>0</v>
      </c>
      <c r="R267" s="22">
        <f t="shared" si="119"/>
        <v>1461549.41</v>
      </c>
      <c r="S267" s="22">
        <f t="shared" si="119"/>
        <v>1068212.78</v>
      </c>
      <c r="T267" s="22">
        <f t="shared" si="119"/>
        <v>822565.35</v>
      </c>
      <c r="U267" s="154">
        <f>+IFERROR((R267/N267),0%)</f>
        <v>0.33134752430668751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589074</v>
      </c>
      <c r="N268" s="32">
        <f>IFERROR(VLOOKUP(G268,'Base Zero'!$A:$P,16,FALSE),0)</f>
        <v>4410926</v>
      </c>
      <c r="O268" s="32">
        <f>IFERROR(VLOOKUP(G268,'Base Execução'!A:M,6,FALSE),0)+IFERROR(VLOOKUP(G268,'Destaque Liberado pela CPRM'!A:F,6,FALSE),0)</f>
        <v>1742979.74</v>
      </c>
      <c r="P268" s="231">
        <f>+N268-O268</f>
        <v>2667946.2599999998</v>
      </c>
      <c r="Q268" s="32"/>
      <c r="R268" s="231">
        <f>IFERROR(VLOOKUP(G268,'Base Execução'!$A:$K,7,FALSE),0)</f>
        <v>1461549.41</v>
      </c>
      <c r="S268" s="231">
        <f>IFERROR(VLOOKUP(G268,'Base Execução'!$A:$K,9,FALSE),0)</f>
        <v>1068212.78</v>
      </c>
      <c r="T268" s="32">
        <f>IFERROR(VLOOKUP(G268,'Base Execução'!$A:$K,11,FALSE),0)</f>
        <v>822565.35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589075</v>
      </c>
      <c r="N271" s="22">
        <f t="shared" si="120"/>
        <v>410925</v>
      </c>
      <c r="O271" s="22">
        <f t="shared" si="120"/>
        <v>303234.24</v>
      </c>
      <c r="P271" s="229">
        <f t="shared" si="120"/>
        <v>107690.76000000001</v>
      </c>
      <c r="Q271" s="22">
        <f t="shared" si="120"/>
        <v>0</v>
      </c>
      <c r="R271" s="22">
        <f t="shared" si="120"/>
        <v>264342.28000000003</v>
      </c>
      <c r="S271" s="22">
        <f t="shared" si="120"/>
        <v>114061.3</v>
      </c>
      <c r="T271" s="22">
        <f t="shared" si="120"/>
        <v>112598.97</v>
      </c>
      <c r="U271" s="154">
        <f>+IFERROR((R271/N271),0%)</f>
        <v>0.64328595242440845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589075</v>
      </c>
      <c r="N272" s="32">
        <f>IFERROR(VLOOKUP(G272,'Base Zero'!$A:$P,16,FALSE),0)</f>
        <v>410925</v>
      </c>
      <c r="O272" s="32">
        <f>IFERROR(VLOOKUP(G272,'Base Execução'!A:M,6,FALSE),0)+IFERROR(VLOOKUP(G272,'Destaque Liberado pela CPRM'!A:F,6,FALSE),0)</f>
        <v>303234.24</v>
      </c>
      <c r="P272" s="231">
        <f>+N272-O272</f>
        <v>107690.76000000001</v>
      </c>
      <c r="Q272" s="32"/>
      <c r="R272" s="231">
        <f>IFERROR(VLOOKUP(G272,'Base Execução'!$A:$K,7,FALSE),0)</f>
        <v>264342.28000000003</v>
      </c>
      <c r="S272" s="231">
        <f>IFERROR(VLOOKUP(G272,'Base Execução'!$A:$K,9,FALSE),0)</f>
        <v>114061.3</v>
      </c>
      <c r="T272" s="32">
        <f>IFERROR(VLOOKUP(G272,'Base Execução'!$A:$K,11,FALSE),0)</f>
        <v>112598.97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176723</v>
      </c>
      <c r="N280" s="21">
        <f t="shared" si="123"/>
        <v>1323277</v>
      </c>
      <c r="O280" s="21">
        <f t="shared" si="123"/>
        <v>317996.21000000002</v>
      </c>
      <c r="P280" s="21">
        <f t="shared" si="123"/>
        <v>1005280.79</v>
      </c>
      <c r="Q280" s="22">
        <f t="shared" si="123"/>
        <v>0</v>
      </c>
      <c r="R280" s="21">
        <f t="shared" si="123"/>
        <v>213331.14</v>
      </c>
      <c r="S280" s="21">
        <f t="shared" si="123"/>
        <v>146304.16</v>
      </c>
      <c r="T280" s="21">
        <f t="shared" si="123"/>
        <v>143974.75</v>
      </c>
      <c r="U280" s="156">
        <f>+IFERROR((R280/N280),0%)</f>
        <v>0.16121427335319816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176723</v>
      </c>
      <c r="N282" s="32">
        <f t="shared" si="124"/>
        <v>1231909</v>
      </c>
      <c r="O282" s="32">
        <f t="shared" si="124"/>
        <v>277125.21000000002</v>
      </c>
      <c r="P282" s="32">
        <f t="shared" si="124"/>
        <v>954783.79</v>
      </c>
      <c r="Q282" s="32">
        <f t="shared" si="124"/>
        <v>0</v>
      </c>
      <c r="R282" s="32">
        <f t="shared" si="124"/>
        <v>172460.14</v>
      </c>
      <c r="S282" s="32">
        <f t="shared" si="124"/>
        <v>146304.16</v>
      </c>
      <c r="T282" s="32">
        <f t="shared" si="124"/>
        <v>143974.75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40871</v>
      </c>
      <c r="P283" s="32">
        <f t="shared" si="125"/>
        <v>50497</v>
      </c>
      <c r="Q283" s="32">
        <f t="shared" si="125"/>
        <v>0</v>
      </c>
      <c r="R283" s="32">
        <f t="shared" si="125"/>
        <v>40871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176723</v>
      </c>
      <c r="N286" s="22">
        <f t="shared" si="126"/>
        <v>1323277</v>
      </c>
      <c r="O286" s="22">
        <f t="shared" si="126"/>
        <v>317996.21000000002</v>
      </c>
      <c r="P286" s="22">
        <f t="shared" si="126"/>
        <v>1005280.79</v>
      </c>
      <c r="Q286" s="22">
        <f t="shared" si="126"/>
        <v>0</v>
      </c>
      <c r="R286" s="22">
        <f t="shared" si="126"/>
        <v>213331.14</v>
      </c>
      <c r="S286" s="22">
        <f t="shared" si="126"/>
        <v>146304.16</v>
      </c>
      <c r="T286" s="22">
        <f t="shared" si="126"/>
        <v>143974.75</v>
      </c>
      <c r="U286" s="154">
        <f>+IFERROR((R286/N286),0%)</f>
        <v>0.16121427335319816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176723</v>
      </c>
      <c r="N287" s="32">
        <f>IFERROR(VLOOKUP(G287,'Base Zero'!$A:$P,16,FALSE),0)</f>
        <v>1231909</v>
      </c>
      <c r="O287" s="32">
        <f>IFERROR(VLOOKUP(G287,'Base Execução'!A:M,6,FALSE),0)+IFERROR(VLOOKUP(G287,'Destaque Liberado pela CPRM'!A:F,6,FALSE),0)</f>
        <v>277125.21000000002</v>
      </c>
      <c r="P287" s="231">
        <f>+N287-O287</f>
        <v>954783.79</v>
      </c>
      <c r="Q287" s="32"/>
      <c r="R287" s="231">
        <f>IFERROR(VLOOKUP(G287,'Base Execução'!$A:$K,7,FALSE),0)</f>
        <v>172460.14</v>
      </c>
      <c r="S287" s="231">
        <f>IFERROR(VLOOKUP(G287,'Base Execução'!$A:$K,9,FALSE),0)</f>
        <v>146304.16</v>
      </c>
      <c r="T287" s="32">
        <f>IFERROR(VLOOKUP(G287,'Base Execução'!$A:$K,11,FALSE),0)</f>
        <v>143974.75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40871</v>
      </c>
      <c r="P288" s="231">
        <f>+N288-O288</f>
        <v>50497</v>
      </c>
      <c r="Q288" s="33"/>
      <c r="R288" s="231">
        <f>IFERROR(VLOOKUP(G288,'Base Execução'!$A:$K,7,FALSE),0)</f>
        <v>40871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883611</v>
      </c>
      <c r="N290" s="21">
        <f t="shared" si="127"/>
        <v>6616389</v>
      </c>
      <c r="O290" s="21">
        <f t="shared" si="127"/>
        <v>2002057.92</v>
      </c>
      <c r="P290" s="21">
        <f t="shared" si="127"/>
        <v>4614331.08</v>
      </c>
      <c r="Q290" s="22">
        <f>SUM(Q292:Q294)</f>
        <v>0</v>
      </c>
      <c r="R290" s="21">
        <f t="shared" si="127"/>
        <v>1328882.04</v>
      </c>
      <c r="S290" s="21">
        <f t="shared" si="127"/>
        <v>966906.73999999987</v>
      </c>
      <c r="T290" s="21">
        <f t="shared" si="127"/>
        <v>912456.62</v>
      </c>
      <c r="U290" s="156">
        <f>+IFERROR((R290/N290),0%)</f>
        <v>0.20084702395823462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383611</v>
      </c>
      <c r="N292" s="32">
        <f t="shared" si="128"/>
        <v>4816389</v>
      </c>
      <c r="O292" s="32">
        <f t="shared" si="128"/>
        <v>1707543.74</v>
      </c>
      <c r="P292" s="32">
        <f t="shared" si="128"/>
        <v>3108845.2600000002</v>
      </c>
      <c r="Q292" s="32">
        <f t="shared" si="128"/>
        <v>0</v>
      </c>
      <c r="R292" s="32">
        <f t="shared" si="128"/>
        <v>1068470.04</v>
      </c>
      <c r="S292" s="32">
        <f t="shared" si="128"/>
        <v>883584.28999999992</v>
      </c>
      <c r="T292" s="32">
        <f t="shared" si="128"/>
        <v>868476.39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500000</v>
      </c>
      <c r="N293" s="32">
        <f t="shared" si="129"/>
        <v>1100000</v>
      </c>
      <c r="O293" s="32">
        <f t="shared" si="129"/>
        <v>213075.55</v>
      </c>
      <c r="P293" s="32">
        <f t="shared" si="129"/>
        <v>886924.45</v>
      </c>
      <c r="Q293" s="32">
        <f t="shared" ref="Q293" si="130">Q301</f>
        <v>0</v>
      </c>
      <c r="R293" s="32">
        <f t="shared" si="129"/>
        <v>213075.55</v>
      </c>
      <c r="S293" s="32">
        <f t="shared" si="129"/>
        <v>35986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81438.63</v>
      </c>
      <c r="P294" s="32">
        <f t="shared" si="131"/>
        <v>618561.37</v>
      </c>
      <c r="Q294" s="32">
        <f t="shared" ref="Q294" si="132">Q302</f>
        <v>0</v>
      </c>
      <c r="R294" s="32">
        <f t="shared" si="131"/>
        <v>47336.45</v>
      </c>
      <c r="S294" s="32">
        <f t="shared" si="131"/>
        <v>47336.45</v>
      </c>
      <c r="T294" s="32">
        <f t="shared" si="131"/>
        <v>43980.23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133602.22</v>
      </c>
      <c r="P299" s="21">
        <f t="shared" si="135"/>
        <v>66397.78</v>
      </c>
      <c r="Q299" s="21">
        <f>SUM(Q300:Q302)</f>
        <v>0</v>
      </c>
      <c r="R299" s="21">
        <f>SUM(R300:R304)</f>
        <v>115033.22</v>
      </c>
      <c r="S299" s="21">
        <f>SUM(S300:S304)</f>
        <v>87364.91</v>
      </c>
      <c r="T299" s="21">
        <f>SUM(T300:T304)</f>
        <v>85887.15</v>
      </c>
      <c r="U299" s="154">
        <f>+IFERROR((R299/N299),0%)</f>
        <v>0.57516610000000001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133602.22</v>
      </c>
      <c r="P300" s="231">
        <f>+N300-O300</f>
        <v>66397.78</v>
      </c>
      <c r="Q300" s="33"/>
      <c r="R300" s="231">
        <f>IFERROR(VLOOKUP(G300,'Base Execução'!$A:$K,7,FALSE),0)</f>
        <v>115033.22</v>
      </c>
      <c r="S300" s="231">
        <f>IFERROR(VLOOKUP(G300,'Base Execução'!$A:$K,9,FALSE),0)</f>
        <v>87364.91</v>
      </c>
      <c r="T300" s="32">
        <f>IFERROR(VLOOKUP(G300,'Base Execução'!$A:$K,11,FALSE),0)</f>
        <v>85887.15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883611</v>
      </c>
      <c r="N306" s="22">
        <f t="shared" si="136"/>
        <v>4016389</v>
      </c>
      <c r="O306" s="22">
        <f t="shared" si="136"/>
        <v>1328443.23</v>
      </c>
      <c r="P306" s="22">
        <f t="shared" si="136"/>
        <v>2687945.77</v>
      </c>
      <c r="Q306" s="33"/>
      <c r="R306" s="22">
        <f t="shared" ref="R306" si="137">SUM(R307:R308)</f>
        <v>808864.35000000009</v>
      </c>
      <c r="S306" s="22">
        <f t="shared" ref="S306" si="138">SUM(S307:S308)</f>
        <v>560101.16999999993</v>
      </c>
      <c r="T306" s="22">
        <f t="shared" ref="T306" si="139">SUM(T307:T308)</f>
        <v>521356.14</v>
      </c>
      <c r="U306" s="154">
        <f>+IFERROR((R306/N306),0%)</f>
        <v>0.20139093847732381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383611</v>
      </c>
      <c r="N307" s="32">
        <f>IFERROR(VLOOKUP(G307,'Base Zero'!$A:$P,16,FALSE),0)</f>
        <v>3116389</v>
      </c>
      <c r="O307" s="32">
        <f>IFERROR(VLOOKUP(G307,'Base Execução'!A:M,6,FALSE),0)+IFERROR(VLOOKUP(G307,'Destaque Liberado pela CPRM'!A:F,6,FALSE),0)</f>
        <v>1115367.68</v>
      </c>
      <c r="P307" s="231">
        <f>+N307-O307</f>
        <v>2001021.32</v>
      </c>
      <c r="Q307" s="32"/>
      <c r="R307" s="231">
        <f>IFERROR(VLOOKUP(G307,'Base Execução'!$A:$K,7,FALSE),0)</f>
        <v>595788.80000000005</v>
      </c>
      <c r="S307" s="231">
        <f>IFERROR(VLOOKUP(G307,'Base Execução'!$A:$K,9,FALSE),0)</f>
        <v>524115.17</v>
      </c>
      <c r="T307" s="32">
        <f>IFERROR(VLOOKUP(G307,'Base Execução'!$A:$K,11,FALSE),0)</f>
        <v>521356.14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500000</v>
      </c>
      <c r="N308" s="32">
        <f>IFERROR(VLOOKUP(G308,'Base Zero'!$A:$P,16,FALSE),0)</f>
        <v>900000</v>
      </c>
      <c r="O308" s="32">
        <f>IFERROR(VLOOKUP(G308,'Base Execução'!A:M,6,FALSE),0)+IFERROR(VLOOKUP(G308,'Destaque Liberado pela CPRM'!A:F,6,FALSE),0)</f>
        <v>213075.55</v>
      </c>
      <c r="P308" s="231">
        <f>+N308-O308</f>
        <v>686924.45</v>
      </c>
      <c r="Q308" s="32"/>
      <c r="R308" s="231">
        <f>IFERROR(VLOOKUP(G308,'Base Execução'!$A:$K,7,FALSE),0)</f>
        <v>213075.55</v>
      </c>
      <c r="S308" s="231">
        <f>IFERROR(VLOOKUP(G308,'Base Execução'!$A:$K,9,FALSE),0)</f>
        <v>35986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232999.27</v>
      </c>
      <c r="P310" s="22">
        <f t="shared" si="140"/>
        <v>667000.73</v>
      </c>
      <c r="Q310" s="33"/>
      <c r="R310" s="22">
        <f t="shared" ref="R310" si="141">SUM(R311:R312)</f>
        <v>199043.16</v>
      </c>
      <c r="S310" s="22">
        <f t="shared" ref="S310" si="142">SUM(S311:S312)</f>
        <v>147521.87</v>
      </c>
      <c r="T310" s="22">
        <f t="shared" ref="T310" si="143">SUM(T311:T312)</f>
        <v>136985.47</v>
      </c>
      <c r="U310" s="154">
        <f>+IFERROR((R310/N310),0%)</f>
        <v>0.22115906666666668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232999.27</v>
      </c>
      <c r="P311" s="231">
        <f>+N311-O311</f>
        <v>567000.73</v>
      </c>
      <c r="Q311" s="32"/>
      <c r="R311" s="231">
        <f>IFERROR(VLOOKUP(G311,'Base Execução'!$A:$K,7,FALSE),0)</f>
        <v>199043.16</v>
      </c>
      <c r="S311" s="231">
        <f>IFERROR(VLOOKUP(G311,'Base Execução'!$A:$K,9,FALSE),0)</f>
        <v>147521.87</v>
      </c>
      <c r="T311" s="32">
        <f>IFERROR(VLOOKUP(G311,'Base Execução'!$A:$K,11,FALSE),0)</f>
        <v>136985.47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225574.57</v>
      </c>
      <c r="P314" s="22">
        <f t="shared" si="144"/>
        <v>574425.42999999993</v>
      </c>
      <c r="Q314" s="33"/>
      <c r="R314" s="22">
        <f t="shared" ref="R314" si="145">SUM(R315:R316)</f>
        <v>158604.85999999999</v>
      </c>
      <c r="S314" s="22">
        <f t="shared" ref="S314" si="146">SUM(S315:S316)</f>
        <v>124582.34</v>
      </c>
      <c r="T314" s="22">
        <f t="shared" ref="T314" si="147">SUM(T315:T316)</f>
        <v>124247.63</v>
      </c>
      <c r="U314" s="154">
        <f>+IFERROR((R314/N314),0%)</f>
        <v>0.19825607499999998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225574.57</v>
      </c>
      <c r="P315" s="231">
        <f>+N315-O315</f>
        <v>474425.43</v>
      </c>
      <c r="Q315" s="32"/>
      <c r="R315" s="231">
        <f>IFERROR(VLOOKUP(G315,'Base Execução'!$A:$K,7,FALSE),0)</f>
        <v>158604.85999999999</v>
      </c>
      <c r="S315" s="231">
        <f>IFERROR(VLOOKUP(G315,'Base Execução'!$A:$K,9,FALSE),0)</f>
        <v>124582.34</v>
      </c>
      <c r="T315" s="32">
        <f>IFERROR(VLOOKUP(G315,'Base Execução'!$A:$K,11,FALSE),0)</f>
        <v>124247.63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81438.63</v>
      </c>
      <c r="P318" s="229">
        <f t="shared" si="148"/>
        <v>618561.37</v>
      </c>
      <c r="Q318" s="33"/>
      <c r="R318" s="229">
        <f>SUM(R319:R319)</f>
        <v>47336.45</v>
      </c>
      <c r="S318" s="229">
        <f>SUM(S319:S319)</f>
        <v>47336.45</v>
      </c>
      <c r="T318" s="22">
        <f>SUM(T319:T319)</f>
        <v>43980.23</v>
      </c>
      <c r="U318" s="154">
        <f>+IFERROR((R318/N318),0%)</f>
        <v>6.7623499999999989E-2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81438.63</v>
      </c>
      <c r="P319" s="231">
        <f>+N319-O319</f>
        <v>618561.37</v>
      </c>
      <c r="Q319" s="32"/>
      <c r="R319" s="231">
        <f>IFERROR(VLOOKUP(G319,'Base Execução'!$A:$K,7,FALSE),0)</f>
        <v>47336.45</v>
      </c>
      <c r="S319" s="231">
        <f>IFERROR(VLOOKUP(G319,'Base Execução'!$A:$K,9,FALSE),0)</f>
        <v>47336.45</v>
      </c>
      <c r="T319" s="32">
        <f>IFERROR(VLOOKUP(G319,'Base Execução'!$A:$K,11,FALSE),0)</f>
        <v>43980.23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1261000</v>
      </c>
      <c r="N321" s="22">
        <f t="shared" si="149"/>
        <v>9439000</v>
      </c>
      <c r="O321" s="22">
        <f t="shared" si="149"/>
        <v>4044910.49</v>
      </c>
      <c r="P321" s="22">
        <f t="shared" si="149"/>
        <v>5394089.5099999998</v>
      </c>
      <c r="Q321" s="22">
        <f t="shared" si="149"/>
        <v>0</v>
      </c>
      <c r="R321" s="22">
        <f t="shared" si="149"/>
        <v>3862106.2199999997</v>
      </c>
      <c r="S321" s="22">
        <f t="shared" si="149"/>
        <v>1712988.55</v>
      </c>
      <c r="T321" s="22">
        <f t="shared" si="149"/>
        <v>1452226.93</v>
      </c>
      <c r="U321" s="156">
        <f>+IFERROR((R321/N321),0%)</f>
        <v>0.40916476533531093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1261000</v>
      </c>
      <c r="N323" s="31">
        <f t="shared" si="150"/>
        <v>7439000</v>
      </c>
      <c r="O323" s="31">
        <f t="shared" si="150"/>
        <v>3496881.49</v>
      </c>
      <c r="P323" s="31">
        <f t="shared" si="150"/>
        <v>3942118.51</v>
      </c>
      <c r="Q323" s="31">
        <f t="shared" si="150"/>
        <v>0</v>
      </c>
      <c r="R323" s="31">
        <f t="shared" si="150"/>
        <v>3314077.2199999997</v>
      </c>
      <c r="S323" s="31">
        <f t="shared" si="150"/>
        <v>1515065.55</v>
      </c>
      <c r="T323" s="31">
        <f t="shared" si="150"/>
        <v>1452226.93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548029</v>
      </c>
      <c r="P324" s="31">
        <f t="shared" si="151"/>
        <v>1451971</v>
      </c>
      <c r="Q324" s="31">
        <f>Q329</f>
        <v>0</v>
      </c>
      <c r="R324" s="31">
        <f t="shared" si="151"/>
        <v>548029</v>
      </c>
      <c r="S324" s="31">
        <f t="shared" si="151"/>
        <v>197923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1196919.3999999999</v>
      </c>
      <c r="P327" s="30">
        <f t="shared" si="152"/>
        <v>1993080.6</v>
      </c>
      <c r="Q327" s="30">
        <f t="shared" si="152"/>
        <v>0</v>
      </c>
      <c r="R327" s="30">
        <f t="shared" si="152"/>
        <v>1180502.8999999999</v>
      </c>
      <c r="S327" s="30">
        <f t="shared" si="152"/>
        <v>859714.75</v>
      </c>
      <c r="T327" s="30">
        <f t="shared" si="152"/>
        <v>632867.52</v>
      </c>
      <c r="U327" s="154">
        <f>+IFERROR((R327/N327),0%)</f>
        <v>0.37006360501567392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937110.4</v>
      </c>
      <c r="P328" s="232">
        <f>+N328-O328</f>
        <v>552889.59999999998</v>
      </c>
      <c r="Q328" s="35"/>
      <c r="R328" s="231">
        <f>IFERROR(VLOOKUP(G328,'Base Execução'!$A:$K,7,FALSE),0)</f>
        <v>920693.9</v>
      </c>
      <c r="S328" s="231">
        <f>IFERROR(VLOOKUP(G328,'Base Execução'!$A:$K,9,FALSE),0)</f>
        <v>661791.75</v>
      </c>
      <c r="T328" s="32">
        <f>IFERROR(VLOOKUP(G328,'Base Execução'!$A:$K,11,FALSE),0)</f>
        <v>632867.52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259809</v>
      </c>
      <c r="P329" s="232">
        <f>+N329-O329</f>
        <v>1440191</v>
      </c>
      <c r="Q329" s="35"/>
      <c r="R329" s="231">
        <f>IFERROR(VLOOKUP(G329,'Base Execução'!$A:$K,7,FALSE),0)</f>
        <v>259809</v>
      </c>
      <c r="S329" s="231">
        <f>IFERROR(VLOOKUP(G329,'Base Execução'!$A:$K,9,FALSE),0)</f>
        <v>197923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400000</v>
      </c>
      <c r="N331" s="22">
        <f t="shared" si="153"/>
        <v>800000</v>
      </c>
      <c r="O331" s="22">
        <f t="shared" si="153"/>
        <v>496555.02</v>
      </c>
      <c r="P331" s="22">
        <f t="shared" si="153"/>
        <v>303444.98</v>
      </c>
      <c r="Q331" s="22">
        <f>SUM(Q332:Q332)</f>
        <v>0</v>
      </c>
      <c r="R331" s="22">
        <f>SUM(R332:R333)</f>
        <v>468377.99</v>
      </c>
      <c r="S331" s="22">
        <f>SUM(S332:S333)</f>
        <v>128508.01</v>
      </c>
      <c r="T331" s="22">
        <f>SUM(T332:T333)</f>
        <v>114304.58</v>
      </c>
      <c r="U331" s="154">
        <f>+IFERROR((R331/N331),0%)</f>
        <v>0.58547248750000003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400000</v>
      </c>
      <c r="N332" s="32">
        <f>IFERROR(VLOOKUP(G332,'Base Zero'!$A:$P,16,FALSE),0)</f>
        <v>500000</v>
      </c>
      <c r="O332" s="32">
        <f>IFERROR(VLOOKUP(G332,'Base Execução'!A:M,6,FALSE),0)+IFERROR(VLOOKUP(G332,'Destaque Liberado pela CPRM'!A:F,6,FALSE),0)</f>
        <v>208335.02</v>
      </c>
      <c r="P332" s="232">
        <f>+N332-O332</f>
        <v>291664.98</v>
      </c>
      <c r="Q332" s="31"/>
      <c r="R332" s="231">
        <f>IFERROR(VLOOKUP(G332,'Base Execução'!$A:$K,7,FALSE),0)</f>
        <v>180157.99</v>
      </c>
      <c r="S332" s="231">
        <f>IFERROR(VLOOKUP(G332,'Base Execução'!$A:$K,9,FALSE),0)</f>
        <v>128508.01</v>
      </c>
      <c r="T332" s="32">
        <f>IFERROR(VLOOKUP(G332,'Base Execução'!$A:$K,11,FALSE),0)</f>
        <v>114304.58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288220</v>
      </c>
      <c r="P333" s="232">
        <f>+N333-O333</f>
        <v>11780</v>
      </c>
      <c r="Q333" s="31"/>
      <c r="R333" s="231">
        <f>IFERROR(VLOOKUP(G333,'Base Execução'!$A:$K,7,FALSE),0)</f>
        <v>288220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153000</v>
      </c>
      <c r="N335" s="22">
        <f t="shared" si="154"/>
        <v>827000</v>
      </c>
      <c r="O335" s="22">
        <f t="shared" si="154"/>
        <v>342647.37</v>
      </c>
      <c r="P335" s="229">
        <f t="shared" si="154"/>
        <v>484352.63</v>
      </c>
      <c r="Q335" s="22">
        <f t="shared" si="154"/>
        <v>0</v>
      </c>
      <c r="R335" s="22">
        <f t="shared" si="154"/>
        <v>288309.46999999997</v>
      </c>
      <c r="S335" s="22">
        <f t="shared" si="154"/>
        <v>246873.82</v>
      </c>
      <c r="T335" s="22">
        <f t="shared" si="154"/>
        <v>243198.07</v>
      </c>
      <c r="U335" s="154">
        <f>+IFERROR((R335/N335),0%)</f>
        <v>0.34862088270858521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153000</v>
      </c>
      <c r="N336" s="32">
        <f>IFERROR(VLOOKUP(G336,'Base Zero'!$A:$P,16,FALSE),0)</f>
        <v>827000</v>
      </c>
      <c r="O336" s="32">
        <f>IFERROR(VLOOKUP(G336,'Base Execução'!A:M,6,FALSE),0)+IFERROR(VLOOKUP(G336,'Destaque Liberado pela CPRM'!A:F,6,FALSE),0)</f>
        <v>342647.37</v>
      </c>
      <c r="P336" s="232">
        <f>+N336-O336</f>
        <v>484352.63</v>
      </c>
      <c r="Q336" s="35"/>
      <c r="R336" s="231">
        <f>IFERROR(VLOOKUP(G336,'Base Execução'!$A:$K,7,FALSE),0)</f>
        <v>288309.46999999997</v>
      </c>
      <c r="S336" s="231">
        <f>IFERROR(VLOOKUP(G336,'Base Execução'!$A:$K,9,FALSE),0)</f>
        <v>246873.82</v>
      </c>
      <c r="T336" s="32">
        <f>IFERROR(VLOOKUP(G336,'Base Execução'!$A:$K,11,FALSE),0)</f>
        <v>243198.07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107000</v>
      </c>
      <c r="N338" s="22">
        <f t="shared" si="155"/>
        <v>1578000</v>
      </c>
      <c r="O338" s="22">
        <f t="shared" si="155"/>
        <v>565175.56000000006</v>
      </c>
      <c r="P338" s="229">
        <f t="shared" si="155"/>
        <v>1012824.44</v>
      </c>
      <c r="Q338" s="22">
        <f t="shared" si="155"/>
        <v>0</v>
      </c>
      <c r="R338" s="22">
        <f t="shared" si="155"/>
        <v>510977.44</v>
      </c>
      <c r="S338" s="22">
        <f t="shared" si="155"/>
        <v>326346.45</v>
      </c>
      <c r="T338" s="22">
        <f t="shared" si="155"/>
        <v>316158.59000000003</v>
      </c>
      <c r="U338" s="154">
        <f>+IFERROR((R338/N338),0%)</f>
        <v>0.32381333333333334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107000</v>
      </c>
      <c r="N339" s="32">
        <f>IFERROR(VLOOKUP(G339,'Base Zero'!$A:$P,16,FALSE),0)</f>
        <v>1578000</v>
      </c>
      <c r="O339" s="32">
        <f>IFERROR(VLOOKUP(G339,'Base Execução'!A:M,6,FALSE),0)+IFERROR(VLOOKUP(G339,'Destaque Liberado pela CPRM'!A:F,6,FALSE),0)</f>
        <v>565175.56000000006</v>
      </c>
      <c r="P339" s="232">
        <f>+N339-O339</f>
        <v>1012824.44</v>
      </c>
      <c r="Q339" s="35"/>
      <c r="R339" s="231">
        <f>IFERROR(VLOOKUP(G339,'Base Execução'!$A:$K,7,FALSE),0)</f>
        <v>510977.44</v>
      </c>
      <c r="S339" s="231">
        <f>IFERROR(VLOOKUP(G339,'Base Execução'!$A:$K,9,FALSE),0)</f>
        <v>326346.45</v>
      </c>
      <c r="T339" s="32">
        <f>IFERROR(VLOOKUP(G339,'Base Execução'!$A:$K,11,FALSE),0)</f>
        <v>316158.59000000003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292000</v>
      </c>
      <c r="N341" s="22">
        <f t="shared" si="156"/>
        <v>403000</v>
      </c>
      <c r="O341" s="22">
        <f t="shared" si="156"/>
        <v>233399.34</v>
      </c>
      <c r="P341" s="229">
        <f t="shared" si="156"/>
        <v>169600.66</v>
      </c>
      <c r="Q341" s="22">
        <f t="shared" si="156"/>
        <v>0</v>
      </c>
      <c r="R341" s="22">
        <f t="shared" si="156"/>
        <v>217495.51</v>
      </c>
      <c r="S341" s="22">
        <f t="shared" si="156"/>
        <v>137513.99</v>
      </c>
      <c r="T341" s="22">
        <f t="shared" si="156"/>
        <v>131666.64000000001</v>
      </c>
      <c r="U341" s="154">
        <f>+IFERROR((R341/N341),0%)</f>
        <v>0.53969109181141439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292000</v>
      </c>
      <c r="N342" s="32">
        <f>IFERROR(VLOOKUP(G342,'Base Zero'!$A:$P,16,FALSE),0)</f>
        <v>403000</v>
      </c>
      <c r="O342" s="32">
        <f>IFERROR(VLOOKUP(G342,'Base Execução'!A:M,6,FALSE),0)+IFERROR(VLOOKUP(G342,'Destaque Liberado pela CPRM'!A:F,6,FALSE),0)</f>
        <v>233399.34</v>
      </c>
      <c r="P342" s="232">
        <f>+N342-O342</f>
        <v>169600.66</v>
      </c>
      <c r="Q342" s="35"/>
      <c r="R342" s="231">
        <f>IFERROR(VLOOKUP(G342,'Base Execução'!$A:$K,7,FALSE),0)</f>
        <v>217495.51</v>
      </c>
      <c r="S342" s="231">
        <f>IFERROR(VLOOKUP(G342,'Base Execução'!$A:$K,9,FALSE),0)</f>
        <v>137513.99</v>
      </c>
      <c r="T342" s="32">
        <f>IFERROR(VLOOKUP(G342,'Base Execução'!$A:$K,11,FALSE),0)</f>
        <v>131666.64000000001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309000</v>
      </c>
      <c r="N344" s="22">
        <f t="shared" si="157"/>
        <v>2641000</v>
      </c>
      <c r="O344" s="22">
        <f t="shared" si="157"/>
        <v>1210213.8</v>
      </c>
      <c r="P344" s="229">
        <f t="shared" si="157"/>
        <v>1430786.2</v>
      </c>
      <c r="Q344" s="22">
        <f t="shared" si="157"/>
        <v>0</v>
      </c>
      <c r="R344" s="22">
        <f t="shared" si="157"/>
        <v>1196442.9099999999</v>
      </c>
      <c r="S344" s="22">
        <f t="shared" si="157"/>
        <v>14031.53</v>
      </c>
      <c r="T344" s="22">
        <f t="shared" si="157"/>
        <v>14031.53</v>
      </c>
      <c r="U344" s="154">
        <f>+IFERROR((R344/N344),0%)</f>
        <v>0.45302647103369931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309000</v>
      </c>
      <c r="N345" s="32">
        <f>IFERROR(VLOOKUP(G345,'Base Zero'!$A:$P,16,FALSE),0)</f>
        <v>2641000</v>
      </c>
      <c r="O345" s="32">
        <f>IFERROR(VLOOKUP(G345,'Base Execução'!A:M,6,FALSE),0)+IFERROR(VLOOKUP(G345,'Destaque Liberado pela CPRM'!A:F,6,FALSE),0)</f>
        <v>1210213.8</v>
      </c>
      <c r="P345" s="232">
        <f>+N345-O345</f>
        <v>1430786.2</v>
      </c>
      <c r="Q345" s="35"/>
      <c r="R345" s="231">
        <f>IFERROR(VLOOKUP(G345,'Base Execução'!$A:$K,7,FALSE),0)</f>
        <v>1196442.9099999999</v>
      </c>
      <c r="S345" s="231">
        <f>IFERROR(VLOOKUP(G345,'Base Execução'!$A:$K,9,FALSE),0)</f>
        <v>14031.53</v>
      </c>
      <c r="T345" s="32">
        <f>IFERROR(VLOOKUP(G345,'Base Execução'!$A:$K,11,FALSE),0)</f>
        <v>14031.53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1790787</v>
      </c>
      <c r="N347" s="22">
        <f t="shared" si="158"/>
        <v>13409213</v>
      </c>
      <c r="O347" s="22">
        <f t="shared" si="158"/>
        <v>5383318.0999999996</v>
      </c>
      <c r="P347" s="22">
        <f t="shared" si="158"/>
        <v>8025894.8999999994</v>
      </c>
      <c r="Q347" s="22">
        <f t="shared" si="158"/>
        <v>0</v>
      </c>
      <c r="R347" s="22">
        <f t="shared" si="158"/>
        <v>3699518.93</v>
      </c>
      <c r="S347" s="22">
        <f t="shared" si="158"/>
        <v>2300819.84</v>
      </c>
      <c r="T347" s="22">
        <f t="shared" si="158"/>
        <v>1648068.1700000002</v>
      </c>
      <c r="U347" s="156">
        <f>+IFERROR((R347/N347),0%)</f>
        <v>0.27589381494648496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1790787</v>
      </c>
      <c r="N349" s="32">
        <f t="shared" si="159"/>
        <v>9996291</v>
      </c>
      <c r="O349" s="32">
        <f t="shared" si="159"/>
        <v>4205845.9399999995</v>
      </c>
      <c r="P349" s="32">
        <f t="shared" si="159"/>
        <v>5790445.0599999996</v>
      </c>
      <c r="Q349" s="32">
        <f t="shared" si="159"/>
        <v>0</v>
      </c>
      <c r="R349" s="32">
        <f t="shared" si="159"/>
        <v>2522046.77</v>
      </c>
      <c r="S349" s="32">
        <f t="shared" si="159"/>
        <v>1948571.8399999999</v>
      </c>
      <c r="T349" s="32">
        <f t="shared" si="159"/>
        <v>1429698.6400000001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1177472.1600000001</v>
      </c>
      <c r="P350" s="32">
        <f t="shared" si="160"/>
        <v>2235449.84</v>
      </c>
      <c r="Q350" s="32">
        <f t="shared" si="160"/>
        <v>0</v>
      </c>
      <c r="R350" s="32">
        <f t="shared" si="160"/>
        <v>1177472.1600000001</v>
      </c>
      <c r="S350" s="32">
        <f t="shared" si="160"/>
        <v>352248</v>
      </c>
      <c r="T350" s="32">
        <f t="shared" si="160"/>
        <v>218369.53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338956.65</v>
      </c>
      <c r="P353" s="21">
        <f t="shared" si="161"/>
        <v>11043.350000000006</v>
      </c>
      <c r="Q353" s="21">
        <f t="shared" si="161"/>
        <v>0</v>
      </c>
      <c r="R353" s="21">
        <f t="shared" si="161"/>
        <v>337823.04000000004</v>
      </c>
      <c r="S353" s="21">
        <f t="shared" si="161"/>
        <v>195569.03</v>
      </c>
      <c r="T353" s="21">
        <f t="shared" si="161"/>
        <v>109083.89</v>
      </c>
      <c r="U353" s="154">
        <f>+IFERROR((R353/N353),0%)</f>
        <v>0.96520868571428586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199895.49</v>
      </c>
      <c r="P354" s="231">
        <f>+N354-O354</f>
        <v>104.51000000000931</v>
      </c>
      <c r="Q354" s="32"/>
      <c r="R354" s="231">
        <f>IFERROR(VLOOKUP(G354,'Base Execução'!$A:$K,7,FALSE),0)</f>
        <v>198761.88</v>
      </c>
      <c r="S354" s="231">
        <f>IFERROR(VLOOKUP(G354,'Base Execução'!$A:$K,9,FALSE),0)</f>
        <v>190372.03</v>
      </c>
      <c r="T354" s="32">
        <f>IFERROR(VLOOKUP(G354,'Base Execução'!$A:$K,11,FALSE),0)</f>
        <v>109083.89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139061.16</v>
      </c>
      <c r="P355" s="231">
        <f>+N355-O355</f>
        <v>10938.839999999997</v>
      </c>
      <c r="Q355" s="32"/>
      <c r="R355" s="231">
        <f>IFERROR(VLOOKUP(G355,'Base Execução'!$A:$K,7,FALSE),0)</f>
        <v>139061.16</v>
      </c>
      <c r="S355" s="231">
        <f>IFERROR(VLOOKUP(G355,'Base Execução'!$A:$K,9,FALSE),0)</f>
        <v>5197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1399752.6600000001</v>
      </c>
      <c r="P357" s="229">
        <f t="shared" si="162"/>
        <v>4600247.34</v>
      </c>
      <c r="Q357" s="22">
        <f t="shared" si="162"/>
        <v>0</v>
      </c>
      <c r="R357" s="22">
        <f t="shared" si="162"/>
        <v>1399117.6600000001</v>
      </c>
      <c r="S357" s="22">
        <f t="shared" si="162"/>
        <v>1144525.01</v>
      </c>
      <c r="T357" s="22">
        <f t="shared" si="162"/>
        <v>626905.93999999994</v>
      </c>
      <c r="U357" s="154">
        <f>+IFERROR((R357/N357),0%)</f>
        <v>0.23318627666666669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1016341.66</v>
      </c>
      <c r="P358" s="231">
        <f>+N358-O358</f>
        <v>2523236.34</v>
      </c>
      <c r="Q358" s="32"/>
      <c r="R358" s="231">
        <f>IFERROR(VLOOKUP(G358,'Base Execução'!$A:$K,7,FALSE),0)</f>
        <v>1015706.66</v>
      </c>
      <c r="S358" s="231">
        <f>IFERROR(VLOOKUP(G358,'Base Execução'!$A:$K,9,FALSE),0)</f>
        <v>797474.01</v>
      </c>
      <c r="T358" s="32">
        <f>IFERROR(VLOOKUP(G358,'Base Execução'!$A:$K,11,FALSE),0)</f>
        <v>408536.41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383411</v>
      </c>
      <c r="P359" s="231">
        <f>+N359-O359</f>
        <v>2077011</v>
      </c>
      <c r="Q359" s="32"/>
      <c r="R359" s="231">
        <f>IFERROR(VLOOKUP(G359,'Base Execução'!$A:$K,7,FALSE),0)</f>
        <v>383411</v>
      </c>
      <c r="S359" s="231">
        <f>IFERROR(VLOOKUP(G359,'Base Execução'!$A:$K,9,FALSE),0)</f>
        <v>347051</v>
      </c>
      <c r="T359" s="32">
        <f>IFERROR(VLOOKUP(G359,'Base Execução'!$A:$K,11,FALSE),0)</f>
        <v>218369.53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1030787</v>
      </c>
      <c r="N361" s="22">
        <f t="shared" si="163"/>
        <v>3080323</v>
      </c>
      <c r="O361" s="22">
        <f t="shared" si="163"/>
        <v>2315056.23</v>
      </c>
      <c r="P361" s="229">
        <f>SUM(P362:P363)</f>
        <v>765266.77</v>
      </c>
      <c r="Q361" s="22">
        <f>SUM(Q362:Q363)</f>
        <v>0</v>
      </c>
      <c r="R361" s="22">
        <f>SUM(R362:R363)</f>
        <v>639258.09</v>
      </c>
      <c r="S361" s="22">
        <f>SUM(S362:S363)</f>
        <v>543252.56999999995</v>
      </c>
      <c r="T361" s="22">
        <f>SUM(T362:T363)</f>
        <v>541018.93999999994</v>
      </c>
      <c r="U361" s="154">
        <f>+IFERROR((R361/N361),0%)</f>
        <v>0.20752956426972105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1030787</v>
      </c>
      <c r="N362" s="32">
        <f>IFERROR(VLOOKUP(G362,'Base Zero'!$A:$P,16,FALSE),0)</f>
        <v>2882823</v>
      </c>
      <c r="O362" s="32">
        <f>IFERROR(VLOOKUP(G362,'Base Execução'!A:M,6,FALSE),0)+IFERROR(VLOOKUP(G362,'Destaque Liberado pela CPRM'!A:F,6,FALSE),0)</f>
        <v>2245056.23</v>
      </c>
      <c r="P362" s="231">
        <f>+N362-O362</f>
        <v>637766.77</v>
      </c>
      <c r="Q362" s="32"/>
      <c r="R362" s="231">
        <f>IFERROR(VLOOKUP(G362,'Base Execução'!$A:$K,7,FALSE),0)</f>
        <v>569258.09</v>
      </c>
      <c r="S362" s="231">
        <f>IFERROR(VLOOKUP(G362,'Base Execução'!$A:$K,9,FALSE),0)</f>
        <v>543252.56999999995</v>
      </c>
      <c r="T362" s="32">
        <f>IFERROR(VLOOKUP(G362,'Base Execução'!$A:$K,11,FALSE),0)</f>
        <v>541018.93999999994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70000</v>
      </c>
      <c r="P363" s="231">
        <f>+N363-O363</f>
        <v>127500</v>
      </c>
      <c r="Q363" s="32"/>
      <c r="R363" s="231">
        <f>IFERROR(VLOOKUP(G363,'Base Execução'!$A:$K,7,FALSE),0)</f>
        <v>70000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882970.15</v>
      </c>
      <c r="P365" s="229">
        <f>SUM(P366:P367)</f>
        <v>1738029.85</v>
      </c>
      <c r="Q365" s="22">
        <f>SUM(Q366:Q367)</f>
        <v>0</v>
      </c>
      <c r="R365" s="22">
        <f>SUM(R366:R367)</f>
        <v>878792.12</v>
      </c>
      <c r="S365" s="22">
        <f>SUM(S366:S367)</f>
        <v>391685.27</v>
      </c>
      <c r="T365" s="22">
        <f>SUM(T366:T367)</f>
        <v>346828.06</v>
      </c>
      <c r="U365" s="154">
        <f>+IFERROR((R365/N365),0%)</f>
        <v>0.33528886684471576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407970.15</v>
      </c>
      <c r="P366" s="231">
        <f>+N366-O366</f>
        <v>1718029.85</v>
      </c>
      <c r="Q366" s="32"/>
      <c r="R366" s="231">
        <f>IFERROR(VLOOKUP(G366,'Base Execução'!$A:$K,7,FALSE),0)</f>
        <v>403792.12</v>
      </c>
      <c r="S366" s="231">
        <f>IFERROR(VLOOKUP(G366,'Base Execução'!$A:$K,9,FALSE),0)</f>
        <v>391685.27</v>
      </c>
      <c r="T366" s="32">
        <f>IFERROR(VLOOKUP(G366,'Base Execução'!$A:$K,11,FALSE),0)</f>
        <v>346828.06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475000</v>
      </c>
      <c r="P367" s="231">
        <f>+N367-O367</f>
        <v>20000</v>
      </c>
      <c r="Q367" s="32"/>
      <c r="R367" s="231">
        <f>IFERROR(VLOOKUP(G367,'Base Execução'!$A:$K,7,FALSE),0)</f>
        <v>475000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760000</v>
      </c>
      <c r="N369" s="22">
        <f t="shared" si="165"/>
        <v>1357890</v>
      </c>
      <c r="O369" s="22">
        <f t="shared" si="165"/>
        <v>446582.41</v>
      </c>
      <c r="P369" s="229">
        <f t="shared" si="165"/>
        <v>911307.59000000008</v>
      </c>
      <c r="Q369" s="22">
        <f t="shared" si="165"/>
        <v>0</v>
      </c>
      <c r="R369" s="22">
        <f t="shared" si="165"/>
        <v>444528.02</v>
      </c>
      <c r="S369" s="22">
        <f t="shared" si="165"/>
        <v>25787.96</v>
      </c>
      <c r="T369" s="22">
        <f t="shared" si="165"/>
        <v>24231.34</v>
      </c>
      <c r="U369" s="154">
        <f>+IFERROR((R369/N369),0%)</f>
        <v>0.3273667381010244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760000</v>
      </c>
      <c r="N370" s="32">
        <f>IFERROR(VLOOKUP(G370,'Base Zero'!$A:$P,16,FALSE),0)</f>
        <v>1247890</v>
      </c>
      <c r="O370" s="32">
        <f>IFERROR(VLOOKUP(G370,'Base Execução'!A:M,6,FALSE),0)+IFERROR(VLOOKUP(G370,'Destaque Liberado pela CPRM'!A:F,6,FALSE),0)</f>
        <v>336582.41</v>
      </c>
      <c r="P370" s="231">
        <f>+N370-O370</f>
        <v>911307.59000000008</v>
      </c>
      <c r="Q370" s="32"/>
      <c r="R370" s="231">
        <f>IFERROR(VLOOKUP(G370,'Base Execução'!$A:$K,7,FALSE),0)</f>
        <v>334528.02</v>
      </c>
      <c r="S370" s="231">
        <f>IFERROR(VLOOKUP(G370,'Base Execução'!$A:$K,9,FALSE),0)</f>
        <v>25787.96</v>
      </c>
      <c r="T370" s="32">
        <f>IFERROR(VLOOKUP(G370,'Base Execução'!$A:$K,11,FALSE),0)</f>
        <v>24231.34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110000</v>
      </c>
      <c r="P371" s="231">
        <f>+N371-O371</f>
        <v>0</v>
      </c>
      <c r="Q371" s="32"/>
      <c r="R371" s="231">
        <f>IFERROR(VLOOKUP(G371,'Base Execução'!$A:$K,7,FALSE),0)</f>
        <v>110000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1001427</v>
      </c>
      <c r="N373" s="21">
        <f t="shared" si="166"/>
        <v>7498573</v>
      </c>
      <c r="O373" s="21">
        <f t="shared" si="166"/>
        <v>2648326.1399999997</v>
      </c>
      <c r="P373" s="21">
        <f t="shared" si="166"/>
        <v>4850246.8600000003</v>
      </c>
      <c r="Q373" s="22">
        <f>SUM(Q376:Q378)</f>
        <v>0</v>
      </c>
      <c r="R373" s="21">
        <f t="shared" si="166"/>
        <v>2585715.54</v>
      </c>
      <c r="S373" s="21">
        <f t="shared" si="166"/>
        <v>1866738.71</v>
      </c>
      <c r="T373" s="21">
        <f t="shared" si="166"/>
        <v>1533754.17</v>
      </c>
      <c r="U373" s="156">
        <f>+IFERROR((R373/N373),0%)</f>
        <v>0.3448276812134789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551427</v>
      </c>
      <c r="N376" s="32">
        <f t="shared" si="168"/>
        <v>5141091</v>
      </c>
      <c r="O376" s="32">
        <f t="shared" si="168"/>
        <v>2139079.17</v>
      </c>
      <c r="P376" s="32">
        <f t="shared" si="168"/>
        <v>3002011.83</v>
      </c>
      <c r="Q376" s="32">
        <f t="shared" si="168"/>
        <v>0</v>
      </c>
      <c r="R376" s="32">
        <f t="shared" si="168"/>
        <v>2084735.57</v>
      </c>
      <c r="S376" s="32">
        <f t="shared" si="168"/>
        <v>1425613.24</v>
      </c>
      <c r="T376" s="32">
        <f t="shared" si="168"/>
        <v>1093358.47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22215.55</v>
      </c>
      <c r="P377" s="32">
        <f t="shared" si="169"/>
        <v>977784.45</v>
      </c>
      <c r="Q377" s="32">
        <f t="shared" si="169"/>
        <v>0</v>
      </c>
      <c r="R377" s="32">
        <f t="shared" si="169"/>
        <v>13948.55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450000</v>
      </c>
      <c r="N378" s="32">
        <f t="shared" si="170"/>
        <v>1357482</v>
      </c>
      <c r="O378" s="32">
        <f t="shared" si="170"/>
        <v>487031.42</v>
      </c>
      <c r="P378" s="32">
        <f t="shared" si="170"/>
        <v>870450.58000000007</v>
      </c>
      <c r="Q378" s="32">
        <f t="shared" si="170"/>
        <v>0</v>
      </c>
      <c r="R378" s="32">
        <f t="shared" si="170"/>
        <v>487031.42</v>
      </c>
      <c r="S378" s="32">
        <f t="shared" si="170"/>
        <v>440633.57</v>
      </c>
      <c r="T378" s="32">
        <f t="shared" si="170"/>
        <v>439903.8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1001427</v>
      </c>
      <c r="N381" s="22">
        <f t="shared" si="171"/>
        <v>7498573</v>
      </c>
      <c r="O381" s="22">
        <f t="shared" si="171"/>
        <v>2648326.1399999997</v>
      </c>
      <c r="P381" s="22">
        <f t="shared" si="171"/>
        <v>4850246.8600000003</v>
      </c>
      <c r="Q381" s="22">
        <f>SUM(Q383:Q385)</f>
        <v>0</v>
      </c>
      <c r="R381" s="22">
        <f>SUM(R382:R385)</f>
        <v>2585715.54</v>
      </c>
      <c r="S381" s="22">
        <f>SUM(S382:S385)</f>
        <v>1866738.71</v>
      </c>
      <c r="T381" s="22">
        <f>SUM(T382:T385)</f>
        <v>1533754.17</v>
      </c>
      <c r="U381" s="154">
        <f>+IFERROR((R381/N381),0%)</f>
        <v>0.3448276812134789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551427</v>
      </c>
      <c r="N383" s="32">
        <f>IFERROR(VLOOKUP(G383,'Base Zero'!$A:$P,16,FALSE),0)</f>
        <v>5141091</v>
      </c>
      <c r="O383" s="32">
        <f>IFERROR(VLOOKUP(G383,'Base Execução'!A:M,6,FALSE),0)+IFERROR(VLOOKUP(G383,'Destaque Liberado pela CPRM'!A:F,6,FALSE),0)</f>
        <v>2139079.17</v>
      </c>
      <c r="P383" s="231">
        <f>+N383-O383</f>
        <v>3002011.83</v>
      </c>
      <c r="Q383" s="32"/>
      <c r="R383" s="231">
        <f>IFERROR(VLOOKUP(G383,'Base Execução'!$A:$K,7,FALSE),0)</f>
        <v>2084735.57</v>
      </c>
      <c r="S383" s="231">
        <f>IFERROR(VLOOKUP(G383,'Base Execução'!$A:$K,9,FALSE),0)</f>
        <v>1425613.24</v>
      </c>
      <c r="T383" s="32">
        <f>IFERROR(VLOOKUP(G383,'Base Execução'!$A:$K,11,FALSE),0)</f>
        <v>1093358.47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22215.55</v>
      </c>
      <c r="P384" s="231">
        <f>+N384-O384</f>
        <v>977784.45</v>
      </c>
      <c r="Q384" s="33"/>
      <c r="R384" s="231">
        <f>IFERROR(VLOOKUP(G384,'Base Execução'!$A:$K,7,FALSE),0)</f>
        <v>13948.55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450000</v>
      </c>
      <c r="N385" s="32">
        <f>IFERROR(VLOOKUP(G385,'Base Zero'!$A:$P,16,FALSE),0)</f>
        <v>1357482</v>
      </c>
      <c r="O385" s="32">
        <f>IFERROR(VLOOKUP(G385,'Base Execução'!A:M,6,FALSE),0)+IFERROR(VLOOKUP(G385,'Destaque Liberado pela CPRM'!A:F,6,FALSE),0)</f>
        <v>487031.42</v>
      </c>
      <c r="P385" s="231">
        <f>+N385-O385</f>
        <v>870450.58000000007</v>
      </c>
      <c r="Q385" s="33"/>
      <c r="R385" s="231">
        <f>IFERROR(VLOOKUP(G385,'Base Execução'!$A:$K,7,FALSE),0)</f>
        <v>487031.42</v>
      </c>
      <c r="S385" s="231">
        <f>IFERROR(VLOOKUP(G385,'Base Execução'!$A:$K,9,FALSE),0)</f>
        <v>440633.57</v>
      </c>
      <c r="T385" s="32">
        <f>IFERROR(VLOOKUP(G385,'Base Execução'!$A:$K,11,FALSE),0)</f>
        <v>439903.8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102651</v>
      </c>
      <c r="N387" s="21">
        <f t="shared" si="172"/>
        <v>897349</v>
      </c>
      <c r="O387" s="21">
        <f t="shared" si="172"/>
        <v>283275.5</v>
      </c>
      <c r="P387" s="21">
        <f t="shared" si="172"/>
        <v>614073.5</v>
      </c>
      <c r="Q387" s="22">
        <f>SUM(Q391:Q392)</f>
        <v>0</v>
      </c>
      <c r="R387" s="21">
        <f t="shared" si="172"/>
        <v>241931.41</v>
      </c>
      <c r="S387" s="21">
        <f t="shared" si="172"/>
        <v>150967.39000000001</v>
      </c>
      <c r="T387" s="21">
        <f t="shared" si="172"/>
        <v>138486.93</v>
      </c>
      <c r="U387" s="156">
        <f>+IFERROR((R387/N387),0%)</f>
        <v>0.26960681964319344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79037</v>
      </c>
      <c r="N391" s="32">
        <f t="shared" si="175"/>
        <v>895963</v>
      </c>
      <c r="O391" s="32">
        <f t="shared" si="175"/>
        <v>281889.5</v>
      </c>
      <c r="P391" s="32">
        <f t="shared" si="175"/>
        <v>614073.5</v>
      </c>
      <c r="Q391" s="32">
        <f t="shared" si="175"/>
        <v>0</v>
      </c>
      <c r="R391" s="32">
        <f t="shared" si="175"/>
        <v>241931.41</v>
      </c>
      <c r="S391" s="32">
        <f t="shared" si="175"/>
        <v>150967.39000000001</v>
      </c>
      <c r="T391" s="32">
        <f t="shared" si="175"/>
        <v>138486.93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23614</v>
      </c>
      <c r="N392" s="32">
        <f t="shared" si="176"/>
        <v>1386</v>
      </c>
      <c r="O392" s="32">
        <f t="shared" si="176"/>
        <v>1386</v>
      </c>
      <c r="P392" s="32">
        <f t="shared" si="176"/>
        <v>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73614</v>
      </c>
      <c r="N395" s="21">
        <f t="shared" si="177"/>
        <v>151386</v>
      </c>
      <c r="O395" s="21">
        <f t="shared" si="177"/>
        <v>64843.29</v>
      </c>
      <c r="P395" s="228">
        <f t="shared" si="177"/>
        <v>86542.709999999992</v>
      </c>
      <c r="Q395" s="21">
        <f t="shared" si="177"/>
        <v>0</v>
      </c>
      <c r="R395" s="21">
        <f t="shared" si="177"/>
        <v>63405.8</v>
      </c>
      <c r="S395" s="21">
        <f t="shared" si="177"/>
        <v>9411.7800000000007</v>
      </c>
      <c r="T395" s="21">
        <f t="shared" si="177"/>
        <v>8025.78</v>
      </c>
      <c r="U395" s="154">
        <f>+IFERROR((R395/N395),0%)</f>
        <v>0.41883529520563328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50000</v>
      </c>
      <c r="N396" s="32">
        <f>IFERROR(VLOOKUP(G396,'Base Zero'!$A:$P,16,FALSE),0)</f>
        <v>150000</v>
      </c>
      <c r="O396" s="32">
        <f>IFERROR(VLOOKUP(G396,'Base Execução'!A:M,6,FALSE),0)+IFERROR(VLOOKUP(G396,'Destaque Liberado pela CPRM'!A:F,6,FALSE),0)</f>
        <v>63457.29</v>
      </c>
      <c r="P396" s="231">
        <f>+N396-O396</f>
        <v>86542.709999999992</v>
      </c>
      <c r="Q396" s="32"/>
      <c r="R396" s="231">
        <f>IFERROR(VLOOKUP(G396,'Base Execução'!$A:$K,7,FALSE),0)</f>
        <v>63405.8</v>
      </c>
      <c r="S396" s="231">
        <f>IFERROR(VLOOKUP(G396,'Base Execução'!$A:$K,9,FALSE),0)</f>
        <v>9411.7800000000007</v>
      </c>
      <c r="T396" s="32">
        <f>IFERROR(VLOOKUP(G396,'Base Execução'!$A:$K,11,FALSE),0)</f>
        <v>8025.78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23614</v>
      </c>
      <c r="N397" s="32">
        <f>IFERROR(VLOOKUP(G397,'Base Zero'!$A:$P,16,FALSE),0)</f>
        <v>1386</v>
      </c>
      <c r="O397" s="32">
        <f>IFERROR(VLOOKUP(G397,'Base Execução'!A:M,6,FALSE),0)+IFERROR(VLOOKUP(G397,'Destaque Liberado pela CPRM'!A:F,6,FALSE),0)</f>
        <v>1386</v>
      </c>
      <c r="P397" s="231">
        <f>+N397-O397</f>
        <v>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74124.75</v>
      </c>
      <c r="P402" s="228">
        <f t="shared" si="179"/>
        <v>200875.25</v>
      </c>
      <c r="Q402" s="21">
        <f t="shared" si="179"/>
        <v>0</v>
      </c>
      <c r="R402" s="21">
        <f t="shared" si="179"/>
        <v>65130</v>
      </c>
      <c r="S402" s="21">
        <f t="shared" si="179"/>
        <v>63800</v>
      </c>
      <c r="T402" s="21">
        <f t="shared" si="179"/>
        <v>63800</v>
      </c>
      <c r="U402" s="154">
        <f>+IFERROR((R402/N402),0%)</f>
        <v>0.23683636363636362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74124.75</v>
      </c>
      <c r="P403" s="231">
        <f>+N403-O403</f>
        <v>200875.25</v>
      </c>
      <c r="Q403" s="32"/>
      <c r="R403" s="231">
        <f>IFERROR(VLOOKUP(G403,'Base Execução'!$A:$K,7,FALSE),0)</f>
        <v>65130</v>
      </c>
      <c r="S403" s="231">
        <f>IFERROR(VLOOKUP(G403,'Base Execução'!$A:$K,9,FALSE),0)</f>
        <v>63800</v>
      </c>
      <c r="T403" s="32">
        <f>IFERROR(VLOOKUP(G403,'Base Execução'!$A:$K,11,FALSE),0)</f>
        <v>63800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29037</v>
      </c>
      <c r="N405" s="21">
        <f t="shared" si="180"/>
        <v>320963</v>
      </c>
      <c r="O405" s="21">
        <f t="shared" si="180"/>
        <v>85441.85</v>
      </c>
      <c r="P405" s="228">
        <f t="shared" si="180"/>
        <v>235521.15</v>
      </c>
      <c r="Q405" s="21">
        <f t="shared" si="180"/>
        <v>0</v>
      </c>
      <c r="R405" s="21">
        <f t="shared" si="180"/>
        <v>85213.58</v>
      </c>
      <c r="S405" s="21">
        <f t="shared" si="180"/>
        <v>49573.58</v>
      </c>
      <c r="T405" s="21">
        <f t="shared" si="180"/>
        <v>38479.120000000003</v>
      </c>
      <c r="U405" s="154">
        <f>+IFERROR((R405/N405),0%)</f>
        <v>0.26549346809445323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29037</v>
      </c>
      <c r="N406" s="32">
        <f>IFERROR(VLOOKUP(G406,'Base Zero'!$A:$P,16,FALSE),0)</f>
        <v>320963</v>
      </c>
      <c r="O406" s="32">
        <f>IFERROR(VLOOKUP(G406,'Base Execução'!A:M,6,FALSE),0)+IFERROR(VLOOKUP(G406,'Destaque Liberado pela CPRM'!A:F,6,FALSE),0)</f>
        <v>85441.85</v>
      </c>
      <c r="P406" s="231">
        <f>+N406-O406</f>
        <v>235521.15</v>
      </c>
      <c r="Q406" s="32"/>
      <c r="R406" s="231">
        <f>IFERROR(VLOOKUP(G406,'Base Execução'!$A:$K,7,FALSE),0)</f>
        <v>85213.58</v>
      </c>
      <c r="S406" s="231">
        <f>IFERROR(VLOOKUP(G406,'Base Execução'!$A:$K,9,FALSE),0)</f>
        <v>49573.58</v>
      </c>
      <c r="T406" s="32">
        <f>IFERROR(VLOOKUP(G406,'Base Execução'!$A:$K,11,FALSE),0)</f>
        <v>38479.120000000003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58865.61</v>
      </c>
      <c r="P408" s="228">
        <f t="shared" si="181"/>
        <v>91134.39</v>
      </c>
      <c r="Q408" s="21">
        <f t="shared" si="181"/>
        <v>0</v>
      </c>
      <c r="R408" s="21">
        <f t="shared" si="181"/>
        <v>28182.03</v>
      </c>
      <c r="S408" s="21">
        <f t="shared" si="181"/>
        <v>28182.03</v>
      </c>
      <c r="T408" s="21">
        <f t="shared" si="181"/>
        <v>28182.03</v>
      </c>
      <c r="U408" s="154">
        <f>+IFERROR((R408/N408),0%)</f>
        <v>0.1878802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58865.61</v>
      </c>
      <c r="P409" s="231">
        <f>+N409-O409</f>
        <v>91134.39</v>
      </c>
      <c r="Q409" s="32"/>
      <c r="R409" s="231">
        <f>IFERROR(VLOOKUP(G409,'Base Execução'!$A:$K,7,FALSE),0)</f>
        <v>28182.03</v>
      </c>
      <c r="S409" s="231">
        <f>IFERROR(VLOOKUP(G409,'Base Execução'!$A:$K,9,FALSE),0)</f>
        <v>28182.03</v>
      </c>
      <c r="T409" s="32">
        <f>IFERROR(VLOOKUP(G409,'Base Execução'!$A:$K,11,FALSE),0)</f>
        <v>28182.03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3677453</v>
      </c>
      <c r="L411" s="412">
        <f t="shared" si="182"/>
        <v>517787713</v>
      </c>
      <c r="M411" s="412">
        <f t="shared" si="182"/>
        <v>14735403</v>
      </c>
      <c r="N411" s="412">
        <f t="shared" si="182"/>
        <v>503052310</v>
      </c>
      <c r="O411" s="412">
        <f t="shared" si="182"/>
        <v>233617174.62</v>
      </c>
      <c r="P411" s="412">
        <f t="shared" si="182"/>
        <v>269435135.38</v>
      </c>
      <c r="Q411" s="416"/>
      <c r="R411" s="412">
        <f>R387+R373+R347+R321+R290+R280+R256+R247+R223+R207+R182+R148+R138+R124+R96+R83+R65+R57+R37+R29+R9</f>
        <v>224558154.19000003</v>
      </c>
      <c r="S411" s="412">
        <f>S387+S373+S347+S321+S290+S280+S256+S247+S223+S207+S182+S148+S138+S124+S96+S83+S65+S57+S37+S29+S9</f>
        <v>180511495.14000002</v>
      </c>
      <c r="T411" s="412">
        <f>T387+T373+T347+T321+T290+T280+T256+T247+T223+T207+T182+T148+T138+T124+T96+T83+T65+T57+T37+T29+T9</f>
        <v>171096657.35999998</v>
      </c>
      <c r="U411" s="418">
        <f>(R411/N411)</f>
        <v>0.44639125937022339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44715</v>
      </c>
    </row>
    <row r="6" spans="1:27" ht="20.100000000000001" hidden="1" customHeight="1" x14ac:dyDescent="0.2">
      <c r="B6" s="85" t="s">
        <v>21</v>
      </c>
      <c r="C6" s="90"/>
      <c r="D6" s="376"/>
      <c r="E6" s="516" t="s">
        <v>89</v>
      </c>
      <c r="F6" s="517"/>
      <c r="G6" s="517"/>
      <c r="H6" s="518"/>
    </row>
    <row r="7" spans="1:27" s="91" customFormat="1" ht="18.75" customHeight="1" thickTop="1" x14ac:dyDescent="0.2">
      <c r="A7" s="63"/>
      <c r="B7" s="513" t="s">
        <v>21</v>
      </c>
      <c r="C7" s="511" t="s">
        <v>93</v>
      </c>
      <c r="D7" s="511" t="s">
        <v>127</v>
      </c>
      <c r="E7" s="511" t="s">
        <v>94</v>
      </c>
      <c r="F7" s="511" t="s">
        <v>308</v>
      </c>
      <c r="G7" s="511" t="s">
        <v>219</v>
      </c>
      <c r="H7" s="511" t="s">
        <v>105</v>
      </c>
      <c r="I7" s="511" t="s">
        <v>95</v>
      </c>
      <c r="J7" s="511" t="s">
        <v>299</v>
      </c>
      <c r="K7" s="511" t="s">
        <v>19</v>
      </c>
      <c r="L7" s="511" t="s">
        <v>332</v>
      </c>
      <c r="M7" s="511" t="s">
        <v>20</v>
      </c>
      <c r="N7" s="511" t="s">
        <v>331</v>
      </c>
      <c r="O7" s="511" t="s">
        <v>61</v>
      </c>
      <c r="P7" s="511" t="s">
        <v>333</v>
      </c>
      <c r="Q7" s="508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4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09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4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09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5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0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4123511</v>
      </c>
      <c r="G12" s="142">
        <f>'Execução Orçamentária'!N65</f>
        <v>30876489</v>
      </c>
      <c r="H12" s="142">
        <f>'Execução Orçamentária'!O65</f>
        <v>25274419.620000001</v>
      </c>
      <c r="I12" s="141">
        <f>G12-H12</f>
        <v>5602069.379999999</v>
      </c>
      <c r="J12" s="375">
        <f t="shared" ref="J12:J26" si="0">IFERROR((H12/G12),0%)</f>
        <v>0.81856520733299698</v>
      </c>
      <c r="K12" s="141">
        <f>'Execução Orçamentária'!R65</f>
        <v>24797477.120000001</v>
      </c>
      <c r="L12" s="374">
        <f t="shared" ref="L12:L26" si="1">IFERROR((K12/G12),0%)</f>
        <v>0.80311842191642968</v>
      </c>
      <c r="M12" s="141">
        <f>'Execução Orçamentária'!S65</f>
        <v>8938734.0300000012</v>
      </c>
      <c r="N12" s="374">
        <f t="shared" ref="N12:N26" si="2">IFERROR((M12/G12),0%)</f>
        <v>0.28949969117278851</v>
      </c>
      <c r="O12" s="141">
        <f>'Execução Orçamentária'!T65</f>
        <v>7755961.8899999997</v>
      </c>
      <c r="P12" s="374">
        <f t="shared" ref="P12:P26" si="3">IFERROR((O12/G12),0%)</f>
        <v>0.25119312917994008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170832</v>
      </c>
      <c r="G13" s="149">
        <f>'Execução Orçamentária'!N138</f>
        <v>1279168</v>
      </c>
      <c r="H13" s="149">
        <f>'Execução Orçamentária'!O138</f>
        <v>583261.78</v>
      </c>
      <c r="I13" s="340">
        <f>G13-H13</f>
        <v>695906.22</v>
      </c>
      <c r="J13" s="375">
        <f t="shared" si="0"/>
        <v>0.45596964589483169</v>
      </c>
      <c r="K13" s="340">
        <f>'Execução Orçamentária'!R138</f>
        <v>302251.90000000002</v>
      </c>
      <c r="L13" s="374">
        <f t="shared" si="1"/>
        <v>0.23628788399959977</v>
      </c>
      <c r="M13" s="340">
        <f>'Execução Orçamentária'!S138</f>
        <v>177641.48</v>
      </c>
      <c r="N13" s="374">
        <f t="shared" si="2"/>
        <v>0.13887267348776705</v>
      </c>
      <c r="O13" s="340">
        <f>'Execução Orçamentária'!T138</f>
        <v>171496.58</v>
      </c>
      <c r="P13" s="374">
        <f t="shared" si="3"/>
        <v>0.13406884787611947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2218789</v>
      </c>
      <c r="G14" s="142">
        <f>'Execução Orçamentária'!N148</f>
        <v>16581211</v>
      </c>
      <c r="H14" s="142">
        <f>'Execução Orçamentária'!O148</f>
        <v>6885284.8799999999</v>
      </c>
      <c r="I14" s="141">
        <f>+G14-H14</f>
        <v>9695926.120000001</v>
      </c>
      <c r="J14" s="375">
        <f t="shared" si="0"/>
        <v>0.4152462012575559</v>
      </c>
      <c r="K14" s="141">
        <f>'Execução Orçamentária'!R148</f>
        <v>6506305.3000000007</v>
      </c>
      <c r="L14" s="374">
        <f t="shared" si="1"/>
        <v>0.39239023615343904</v>
      </c>
      <c r="M14" s="141">
        <f>'Execução Orçamentária'!S148</f>
        <v>504915.43</v>
      </c>
      <c r="N14" s="374">
        <f t="shared" si="2"/>
        <v>3.0451058731476247E-2</v>
      </c>
      <c r="O14" s="141">
        <f>'Execução Orçamentária'!T148</f>
        <v>379621.27</v>
      </c>
      <c r="P14" s="374">
        <f t="shared" si="3"/>
        <v>2.2894664931288795E-2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589075</v>
      </c>
      <c r="G15" s="142">
        <f>'Execução Orçamentária'!N182</f>
        <v>4410925</v>
      </c>
      <c r="H15" s="142">
        <f>'Execução Orçamentária'!O182</f>
        <v>1216949.5900000001</v>
      </c>
      <c r="I15" s="141">
        <f>+G15-H15</f>
        <v>3193975.41</v>
      </c>
      <c r="J15" s="375">
        <f t="shared" si="0"/>
        <v>0.27589441897107753</v>
      </c>
      <c r="K15" s="141">
        <f>'Execução Orçamentária'!R182</f>
        <v>919660.79000000015</v>
      </c>
      <c r="L15" s="374">
        <f t="shared" si="1"/>
        <v>0.20849612949664756</v>
      </c>
      <c r="M15" s="141">
        <f>'Execução Orçamentária'!S182</f>
        <v>749303.46000000008</v>
      </c>
      <c r="N15" s="374">
        <f t="shared" si="2"/>
        <v>0.16987445037038718</v>
      </c>
      <c r="O15" s="141">
        <f>'Execução Orçamentária'!T182</f>
        <v>738795.11</v>
      </c>
      <c r="P15" s="374">
        <f t="shared" si="3"/>
        <v>0.16749210426384489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600000</v>
      </c>
      <c r="G16" s="142">
        <f>'Execução Orçamentária'!N207</f>
        <v>4400000</v>
      </c>
      <c r="H16" s="142">
        <f>'Execução Orçamentária'!O207</f>
        <v>2584854.7199999997</v>
      </c>
      <c r="I16" s="141">
        <f>+G16-H16</f>
        <v>1815145.2800000003</v>
      </c>
      <c r="J16" s="375">
        <f t="shared" si="0"/>
        <v>0.5874669818181818</v>
      </c>
      <c r="K16" s="141">
        <f>'Execução Orçamentária'!R207</f>
        <v>2442644.02</v>
      </c>
      <c r="L16" s="374">
        <f t="shared" si="1"/>
        <v>0.55514636818181817</v>
      </c>
      <c r="M16" s="141">
        <f>'Execução Orçamentária'!S207</f>
        <v>1208106.9300000002</v>
      </c>
      <c r="N16" s="374">
        <f t="shared" si="2"/>
        <v>0.27456975681818185</v>
      </c>
      <c r="O16" s="141">
        <f>'Execução Orçamentária'!T207</f>
        <v>1102841.8999999999</v>
      </c>
      <c r="P16" s="374">
        <f t="shared" si="3"/>
        <v>0.25064588636363633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353445</v>
      </c>
      <c r="G17" s="142">
        <f>'Execução Orçamentária'!N223</f>
        <v>2646555</v>
      </c>
      <c r="H17" s="142">
        <f>'Execução Orçamentária'!O223</f>
        <v>1046049.16</v>
      </c>
      <c r="I17" s="141">
        <f t="shared" ref="I17:I24" si="4">+G17-H17</f>
        <v>1600505.8399999999</v>
      </c>
      <c r="J17" s="375">
        <f t="shared" si="0"/>
        <v>0.39524935623858187</v>
      </c>
      <c r="K17" s="141">
        <f>'Execução Orçamentária'!R223</f>
        <v>1044635.99</v>
      </c>
      <c r="L17" s="374">
        <f t="shared" si="1"/>
        <v>0.39471539038485881</v>
      </c>
      <c r="M17" s="141">
        <f>'Execução Orçamentária'!S223</f>
        <v>719315.89</v>
      </c>
      <c r="N17" s="374">
        <f t="shared" si="2"/>
        <v>0.27179328976726347</v>
      </c>
      <c r="O17" s="141">
        <f>'Execução Orçamentária'!T223</f>
        <v>691053.64999999991</v>
      </c>
      <c r="P17" s="374">
        <f t="shared" si="3"/>
        <v>0.2611144109984489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1178149</v>
      </c>
      <c r="G19" s="142">
        <f>'Execução Orçamentária'!N256</f>
        <v>8821851</v>
      </c>
      <c r="H19" s="142">
        <f>'Execução Orçamentária'!O256</f>
        <v>4607562.6400000006</v>
      </c>
      <c r="I19" s="141">
        <f t="shared" si="4"/>
        <v>4214288.3599999994</v>
      </c>
      <c r="J19" s="375">
        <f t="shared" si="0"/>
        <v>0.52228978249575975</v>
      </c>
      <c r="K19" s="141">
        <f>'Execução Orçamentária'!R256</f>
        <v>4186372.3400000003</v>
      </c>
      <c r="L19" s="374">
        <f t="shared" si="1"/>
        <v>0.47454579996873675</v>
      </c>
      <c r="M19" s="141">
        <f>'Execução Orçamentária'!S256</f>
        <v>2236368.2000000002</v>
      </c>
      <c r="N19" s="374">
        <f t="shared" si="2"/>
        <v>0.25350328406136086</v>
      </c>
      <c r="O19" s="141">
        <f>'Execução Orçamentária'!T256</f>
        <v>1770050.92</v>
      </c>
      <c r="P19" s="374">
        <f t="shared" si="3"/>
        <v>0.20064393742310996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176723</v>
      </c>
      <c r="G20" s="142">
        <f>'Execução Orçamentária'!N280</f>
        <v>1323277</v>
      </c>
      <c r="H20" s="142">
        <f>'Execução Orçamentária'!O280</f>
        <v>317996.21000000002</v>
      </c>
      <c r="I20" s="141">
        <f t="shared" si="4"/>
        <v>1005280.79</v>
      </c>
      <c r="J20" s="375">
        <f t="shared" si="0"/>
        <v>0.24030963282819851</v>
      </c>
      <c r="K20" s="141">
        <f>'Execução Orçamentária'!R280</f>
        <v>213331.14</v>
      </c>
      <c r="L20" s="374">
        <f t="shared" si="1"/>
        <v>0.16121427335319816</v>
      </c>
      <c r="M20" s="141">
        <f>'Execução Orçamentária'!S280</f>
        <v>146304.16</v>
      </c>
      <c r="N20" s="374">
        <f t="shared" si="2"/>
        <v>0.11056200629195551</v>
      </c>
      <c r="O20" s="141">
        <f>'Execução Orçamentária'!T280</f>
        <v>143974.75</v>
      </c>
      <c r="P20" s="374">
        <f t="shared" si="3"/>
        <v>0.10880167190996291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883611</v>
      </c>
      <c r="G21" s="142">
        <f>'Execução Orçamentária'!N290</f>
        <v>6616389</v>
      </c>
      <c r="H21" s="142">
        <f>'Execução Orçamentária'!O290</f>
        <v>2002057.92</v>
      </c>
      <c r="I21" s="141">
        <f t="shared" si="4"/>
        <v>4614331.08</v>
      </c>
      <c r="J21" s="375">
        <f t="shared" si="0"/>
        <v>0.30259072131339315</v>
      </c>
      <c r="K21" s="141">
        <f>'Execução Orçamentária'!R290</f>
        <v>1328882.04</v>
      </c>
      <c r="L21" s="374">
        <f t="shared" si="1"/>
        <v>0.20084702395823462</v>
      </c>
      <c r="M21" s="141">
        <f>'Execução Orçamentária'!S290</f>
        <v>966906.73999999987</v>
      </c>
      <c r="N21" s="374">
        <f t="shared" si="2"/>
        <v>0.14613813365568437</v>
      </c>
      <c r="O21" s="141">
        <f>'Execução Orçamentária'!T290</f>
        <v>912456.62</v>
      </c>
      <c r="P21" s="374">
        <f t="shared" si="3"/>
        <v>0.13790855102382885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1261000</v>
      </c>
      <c r="G22" s="141">
        <f>'Execução Orçamentária'!N321</f>
        <v>9439000</v>
      </c>
      <c r="H22" s="141">
        <f>'Execução Orçamentária'!O321</f>
        <v>4044910.49</v>
      </c>
      <c r="I22" s="141">
        <f t="shared" si="4"/>
        <v>5394089.5099999998</v>
      </c>
      <c r="J22" s="375">
        <f t="shared" si="0"/>
        <v>0.42853167602500269</v>
      </c>
      <c r="K22" s="141">
        <f>'Execução Orçamentária'!R321</f>
        <v>3862106.2199999997</v>
      </c>
      <c r="L22" s="374">
        <f t="shared" si="1"/>
        <v>0.40916476533531093</v>
      </c>
      <c r="M22" s="141">
        <f>'Execução Orçamentária'!S321</f>
        <v>1712988.55</v>
      </c>
      <c r="N22" s="374">
        <f t="shared" si="2"/>
        <v>0.18147987604619134</v>
      </c>
      <c r="O22" s="141">
        <f>'Execução Orçamentária'!T321</f>
        <v>1452226.93</v>
      </c>
      <c r="P22" s="374">
        <f t="shared" si="3"/>
        <v>0.153853896599216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1790787</v>
      </c>
      <c r="G23" s="141">
        <f>'Execução Orçamentária'!N347</f>
        <v>13409213</v>
      </c>
      <c r="H23" s="141">
        <f>'Execução Orçamentária'!O347</f>
        <v>5383318.0999999996</v>
      </c>
      <c r="I23" s="141">
        <f t="shared" si="4"/>
        <v>8025894.9000000004</v>
      </c>
      <c r="J23" s="375">
        <f t="shared" si="0"/>
        <v>0.40146413514350171</v>
      </c>
      <c r="K23" s="141">
        <f>'Execução Orçamentária'!R347</f>
        <v>3699518.93</v>
      </c>
      <c r="L23" s="374">
        <f t="shared" si="1"/>
        <v>0.27589381494648496</v>
      </c>
      <c r="M23" s="141">
        <f>'Execução Orçamentária'!S347</f>
        <v>2300819.84</v>
      </c>
      <c r="N23" s="374">
        <f t="shared" si="2"/>
        <v>0.17158500204299834</v>
      </c>
      <c r="O23" s="141">
        <f>'Execução Orçamentária'!T347</f>
        <v>1648068.1700000002</v>
      </c>
      <c r="P23" s="374">
        <f t="shared" si="3"/>
        <v>0.1229056597132136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1001427</v>
      </c>
      <c r="G24" s="141">
        <f>'Execução Orçamentária'!N373</f>
        <v>7498573</v>
      </c>
      <c r="H24" s="141">
        <f>'Execução Orçamentária'!O373</f>
        <v>2648326.1399999997</v>
      </c>
      <c r="I24" s="141">
        <f t="shared" si="4"/>
        <v>4850246.8600000003</v>
      </c>
      <c r="J24" s="375">
        <f t="shared" si="0"/>
        <v>0.35317734987710325</v>
      </c>
      <c r="K24" s="141">
        <f>'Execução Orçamentária'!R373</f>
        <v>2585715.54</v>
      </c>
      <c r="L24" s="374">
        <f t="shared" si="1"/>
        <v>0.3448276812134789</v>
      </c>
      <c r="M24" s="141">
        <f>'Execução Orçamentária'!S373</f>
        <v>1866738.71</v>
      </c>
      <c r="N24" s="374">
        <f t="shared" si="2"/>
        <v>0.24894586076577502</v>
      </c>
      <c r="O24" s="141">
        <f>'Execução Orçamentária'!T373</f>
        <v>1533754.17</v>
      </c>
      <c r="P24" s="374">
        <f t="shared" si="3"/>
        <v>0.20453947304373779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102651</v>
      </c>
      <c r="G25" s="147">
        <f>'Execução Orçamentária'!N387</f>
        <v>897349</v>
      </c>
      <c r="H25" s="147">
        <f>'Execução Orçamentária'!O387</f>
        <v>283275.5</v>
      </c>
      <c r="I25" s="147">
        <f>G25-H25</f>
        <v>614073.5</v>
      </c>
      <c r="J25" s="390">
        <f t="shared" si="0"/>
        <v>0.31568040974024597</v>
      </c>
      <c r="K25" s="426">
        <f>'Execução Orçamentária'!R387</f>
        <v>241931.41</v>
      </c>
      <c r="L25" s="374">
        <f t="shared" si="1"/>
        <v>0.26960681964319344</v>
      </c>
      <c r="M25" s="426">
        <f>'Execução Orçamentária'!S387</f>
        <v>150967.39000000001</v>
      </c>
      <c r="N25" s="374">
        <f t="shared" si="2"/>
        <v>0.16823709615768226</v>
      </c>
      <c r="O25" s="426">
        <f>'Execução Orçamentária'!T387</f>
        <v>138486.93</v>
      </c>
      <c r="P25" s="374">
        <f t="shared" si="3"/>
        <v>0.15432895116615719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14450000</v>
      </c>
      <c r="G26" s="385">
        <f t="shared" si="5"/>
        <v>110800000</v>
      </c>
      <c r="H26" s="385">
        <f t="shared" si="5"/>
        <v>57000831.510000005</v>
      </c>
      <c r="I26" s="385">
        <f t="shared" si="5"/>
        <v>53799168.489999995</v>
      </c>
      <c r="J26" s="386">
        <f t="shared" si="0"/>
        <v>0.51444793781588449</v>
      </c>
      <c r="K26" s="385">
        <f>SUM(K11:K25)</f>
        <v>52253397.5</v>
      </c>
      <c r="L26" s="386">
        <f t="shared" si="1"/>
        <v>0.4716010604693141</v>
      </c>
      <c r="M26" s="385">
        <f>SUM(M11:M25)</f>
        <v>21801675.570000004</v>
      </c>
      <c r="N26" s="386">
        <f t="shared" si="2"/>
        <v>0.19676602500000004</v>
      </c>
      <c r="O26" s="385">
        <f>SUM(O11:O25)</f>
        <v>18561353.649999999</v>
      </c>
      <c r="P26" s="386">
        <f t="shared" si="3"/>
        <v>0.16752124232851984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44715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6" t="s">
        <v>89</v>
      </c>
      <c r="F6" s="517"/>
      <c r="G6" s="517"/>
      <c r="H6" s="518"/>
    </row>
    <row r="7" spans="1:27" s="91" customFormat="1" ht="18.75" customHeight="1" thickTop="1" x14ac:dyDescent="0.2">
      <c r="A7" s="63"/>
      <c r="B7" s="513" t="s">
        <v>21</v>
      </c>
      <c r="C7" s="511" t="s">
        <v>93</v>
      </c>
      <c r="D7" s="511" t="s">
        <v>127</v>
      </c>
      <c r="E7" s="511" t="s">
        <v>94</v>
      </c>
      <c r="F7" s="511" t="s">
        <v>309</v>
      </c>
      <c r="G7" s="511" t="s">
        <v>219</v>
      </c>
      <c r="H7" s="511" t="s">
        <v>105</v>
      </c>
      <c r="I7" s="511" t="s">
        <v>95</v>
      </c>
      <c r="J7" s="511" t="s">
        <v>299</v>
      </c>
      <c r="K7" s="511" t="s">
        <v>19</v>
      </c>
      <c r="L7" s="511" t="s">
        <v>332</v>
      </c>
      <c r="M7" s="511" t="s">
        <v>20</v>
      </c>
      <c r="N7" s="511" t="s">
        <v>331</v>
      </c>
      <c r="O7" s="511" t="s">
        <v>61</v>
      </c>
      <c r="P7" s="511" t="s">
        <v>333</v>
      </c>
      <c r="Q7" s="508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4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09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4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09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5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0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3436635</v>
      </c>
      <c r="E11" s="149">
        <f>'Execução Orçamentária'!L124</f>
        <v>343663503</v>
      </c>
      <c r="F11" s="149">
        <f>'Execução Orçamentária'!M124</f>
        <v>0</v>
      </c>
      <c r="G11" s="149">
        <f>'Execução Orçamentária'!N124</f>
        <v>343663503</v>
      </c>
      <c r="H11" s="149">
        <f>'Execução Orçamentária'!O124</f>
        <v>156421348.75999999</v>
      </c>
      <c r="I11" s="340">
        <f>+G11-H11</f>
        <v>187242154.24000001</v>
      </c>
      <c r="J11" s="374">
        <f>IFERROR((H11/G11),0%)</f>
        <v>0.45515845411143352</v>
      </c>
      <c r="K11" s="427">
        <f>'Execução Orçamentária'!R124</f>
        <v>152327218.99000001</v>
      </c>
      <c r="L11" s="374">
        <f>IFERROR((K11/G11),0%)</f>
        <v>0.44324526072819553</v>
      </c>
      <c r="M11" s="427">
        <f>'Execução Orçamentária'!S124</f>
        <v>140899398.93000001</v>
      </c>
      <c r="N11" s="374">
        <f>IFERROR((M11/G11),0%)</f>
        <v>0.40999232592353574</v>
      </c>
      <c r="O11" s="427">
        <f>'Execução Orçamentária'!T124</f>
        <v>136579310.96000001</v>
      </c>
      <c r="P11" s="374">
        <f>IFERROR((O11/G11),0%)</f>
        <v>0.39742163415007736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11766071.890000001</v>
      </c>
      <c r="I12" s="147">
        <f>+G12-H12</f>
        <v>14823035.109999999</v>
      </c>
      <c r="J12" s="374">
        <f t="shared" ref="J12:J19" si="0">IFERROR((H12/G12),0%)</f>
        <v>0.44251474447787964</v>
      </c>
      <c r="K12" s="141">
        <f>'Execução Orçamentária'!R83</f>
        <v>11578532.059999999</v>
      </c>
      <c r="L12" s="374">
        <f t="shared" ref="L12:L19" si="1">IFERROR((K12/G12),0%)</f>
        <v>0.43546148654033395</v>
      </c>
      <c r="M12" s="141">
        <f>'Execução Orçamentária'!S83</f>
        <v>9415550.6600000001</v>
      </c>
      <c r="N12" s="374">
        <f t="shared" ref="N12:N19" si="2">IFERROR((M12/G12),0%)</f>
        <v>0.35411308322614971</v>
      </c>
      <c r="O12" s="141">
        <f>'Execução Orçamentária'!T83</f>
        <v>7561593.0700000003</v>
      </c>
      <c r="P12" s="374">
        <f t="shared" ref="P12:P19" si="3">IFERROR((O12/G12),0%)</f>
        <v>0.28438687579842375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560715.28</v>
      </c>
      <c r="I13" s="147">
        <f t="shared" ref="I13:I18" si="4">+G13-H13</f>
        <v>1388786.72</v>
      </c>
      <c r="J13" s="374">
        <f t="shared" si="0"/>
        <v>0.28761975109540799</v>
      </c>
      <c r="K13" s="141">
        <f>'Execução Orçamentária'!R103</f>
        <v>542185.86</v>
      </c>
      <c r="L13" s="374">
        <f t="shared" si="1"/>
        <v>0.27811505707611484</v>
      </c>
      <c r="M13" s="141">
        <f>'Execução Orçamentária'!S103</f>
        <v>540774.84</v>
      </c>
      <c r="N13" s="374">
        <f t="shared" si="2"/>
        <v>0.27739127223260091</v>
      </c>
      <c r="O13" s="141">
        <f>'Execução Orçamentária'!T103</f>
        <v>540304.54</v>
      </c>
      <c r="P13" s="374">
        <f t="shared" si="3"/>
        <v>0.27715003113615683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52355.51</v>
      </c>
      <c r="I14" s="147">
        <f t="shared" si="4"/>
        <v>180821.49</v>
      </c>
      <c r="J14" s="374">
        <f t="shared" si="0"/>
        <v>0.22453119304219543</v>
      </c>
      <c r="K14" s="141">
        <f>'Execução Orçamentária'!R110</f>
        <v>52112.94</v>
      </c>
      <c r="L14" s="374">
        <f t="shared" si="1"/>
        <v>0.22349091033849824</v>
      </c>
      <c r="M14" s="141">
        <f>'Execução Orçamentária'!S110</f>
        <v>49388.3</v>
      </c>
      <c r="N14" s="374">
        <f t="shared" si="2"/>
        <v>0.2118060529125943</v>
      </c>
      <c r="O14" s="141">
        <f>'Execução Orçamentária'!T110</f>
        <v>49388.3</v>
      </c>
      <c r="P14" s="374">
        <f t="shared" si="3"/>
        <v>0.2118060529125943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6161508.9400000004</v>
      </c>
      <c r="I15" s="147">
        <f t="shared" si="4"/>
        <v>11467229.059999999</v>
      </c>
      <c r="J15" s="374">
        <f t="shared" si="0"/>
        <v>0.34951503278340174</v>
      </c>
      <c r="K15" s="141">
        <f>'Execução Orçamentária'!R117</f>
        <v>6161508.9400000004</v>
      </c>
      <c r="L15" s="374">
        <f t="shared" si="1"/>
        <v>0.34951503278340174</v>
      </c>
      <c r="M15" s="141">
        <f>'Execução Orçamentária'!S117</f>
        <v>6161508.9400000004</v>
      </c>
      <c r="N15" s="374">
        <f t="shared" si="2"/>
        <v>0.34951503278340174</v>
      </c>
      <c r="O15" s="141">
        <f>'Execução Orçamentária'!T117</f>
        <v>6161508.9400000004</v>
      </c>
      <c r="P15" s="374">
        <f t="shared" si="3"/>
        <v>0.34951503278340174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134870.35999999999</v>
      </c>
      <c r="I16" s="147">
        <f t="shared" si="4"/>
        <v>187997.64</v>
      </c>
      <c r="J16" s="374">
        <f t="shared" si="0"/>
        <v>0.41772600567414542</v>
      </c>
      <c r="K16" s="141">
        <f>'Execução Orçamentária'!R29</f>
        <v>134870.35999999999</v>
      </c>
      <c r="L16" s="374">
        <f t="shared" si="1"/>
        <v>0.41772600567414542</v>
      </c>
      <c r="M16" s="141">
        <f>'Execução Orçamentária'!S29</f>
        <v>134870.35999999999</v>
      </c>
      <c r="N16" s="374">
        <f t="shared" si="2"/>
        <v>0.41772600567414542</v>
      </c>
      <c r="O16" s="141">
        <f>'Execução Orçamentária'!T29</f>
        <v>134870.35999999999</v>
      </c>
      <c r="P16" s="374">
        <f t="shared" si="3"/>
        <v>0.41772600567414542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1519472.37</v>
      </c>
      <c r="I17" s="147">
        <f t="shared" si="4"/>
        <v>345942.62999999989</v>
      </c>
      <c r="J17" s="374">
        <f t="shared" si="0"/>
        <v>0.81454923971341509</v>
      </c>
      <c r="K17" s="141">
        <f>'Execução Orçamentária'!R9</f>
        <v>1508327.54</v>
      </c>
      <c r="L17" s="374">
        <f t="shared" si="1"/>
        <v>0.80857478898797319</v>
      </c>
      <c r="M17" s="141">
        <f>'Execução Orçamentária'!S9</f>
        <v>1508327.54</v>
      </c>
      <c r="N17" s="374">
        <f t="shared" si="2"/>
        <v>0.80857478898797319</v>
      </c>
      <c r="O17" s="141">
        <f>'Execução Orçamentária'!T9</f>
        <v>1508327.54</v>
      </c>
      <c r="P17" s="374">
        <f t="shared" si="3"/>
        <v>0.80857478898797319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3677453</v>
      </c>
      <c r="E19" s="385">
        <f t="shared" si="5"/>
        <v>392537713</v>
      </c>
      <c r="F19" s="385">
        <f t="shared" si="5"/>
        <v>285403</v>
      </c>
      <c r="G19" s="385">
        <f t="shared" si="5"/>
        <v>392252310</v>
      </c>
      <c r="H19" s="385">
        <f t="shared" si="5"/>
        <v>176616343.10999998</v>
      </c>
      <c r="I19" s="385">
        <f t="shared" si="5"/>
        <v>215635966.89000002</v>
      </c>
      <c r="J19" s="386">
        <f t="shared" si="0"/>
        <v>0.45026208541639939</v>
      </c>
      <c r="K19" s="385">
        <f>SUM(K11:K18)</f>
        <v>172304756.69000003</v>
      </c>
      <c r="L19" s="386">
        <f t="shared" si="1"/>
        <v>0.43927021536214794</v>
      </c>
      <c r="M19" s="385">
        <f>SUM(M11:M18)</f>
        <v>158709819.57000002</v>
      </c>
      <c r="N19" s="386">
        <f t="shared" si="2"/>
        <v>0.40461156129329112</v>
      </c>
      <c r="O19" s="385">
        <f>SUM(O11:O18)</f>
        <v>152535303.71000001</v>
      </c>
      <c r="P19" s="386">
        <f t="shared" si="3"/>
        <v>0.38887037710498124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44717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6" t="s">
        <v>89</v>
      </c>
      <c r="N6" s="517"/>
      <c r="O6" s="517"/>
      <c r="P6" s="5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29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1" t="s">
        <v>126</v>
      </c>
      <c r="K7" s="533" t="s">
        <v>93</v>
      </c>
      <c r="L7" s="519" t="s">
        <v>127</v>
      </c>
      <c r="M7" s="519" t="s">
        <v>94</v>
      </c>
      <c r="N7" s="526" t="s">
        <v>186</v>
      </c>
      <c r="O7" s="519" t="s">
        <v>194</v>
      </c>
      <c r="P7" s="526" t="s">
        <v>105</v>
      </c>
      <c r="Q7" s="519" t="s">
        <v>95</v>
      </c>
      <c r="R7" s="526" t="s">
        <v>188</v>
      </c>
      <c r="S7" s="521" t="s">
        <v>187</v>
      </c>
      <c r="T7" s="526" t="s">
        <v>193</v>
      </c>
      <c r="U7" s="521" t="s">
        <v>190</v>
      </c>
      <c r="V7" s="526" t="s">
        <v>61</v>
      </c>
      <c r="W7" s="521" t="s">
        <v>192</v>
      </c>
      <c r="X7" s="52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0"/>
      <c r="C8" s="193"/>
      <c r="D8" s="194"/>
      <c r="E8" s="193"/>
      <c r="F8" s="195"/>
      <c r="G8" s="193"/>
      <c r="H8" s="196"/>
      <c r="I8" s="196"/>
      <c r="J8" s="532"/>
      <c r="K8" s="534"/>
      <c r="L8" s="520"/>
      <c r="M8" s="520"/>
      <c r="N8" s="527"/>
      <c r="O8" s="520"/>
      <c r="P8" s="527"/>
      <c r="Q8" s="520"/>
      <c r="R8" s="527"/>
      <c r="S8" s="522"/>
      <c r="T8" s="527"/>
      <c r="U8" s="522"/>
      <c r="V8" s="527"/>
      <c r="W8" s="522"/>
      <c r="X8" s="52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0"/>
      <c r="C9" s="193"/>
      <c r="D9" s="194"/>
      <c r="E9" s="193"/>
      <c r="F9" s="195"/>
      <c r="G9" s="193"/>
      <c r="H9" s="196"/>
      <c r="I9" s="196"/>
      <c r="J9" s="532"/>
      <c r="K9" s="534"/>
      <c r="L9" s="520"/>
      <c r="M9" s="520"/>
      <c r="N9" s="528"/>
      <c r="O9" s="520"/>
      <c r="P9" s="528"/>
      <c r="Q9" s="520"/>
      <c r="R9" s="528"/>
      <c r="S9" s="522"/>
      <c r="T9" s="528"/>
      <c r="U9" s="522"/>
      <c r="V9" s="528"/>
      <c r="W9" s="522"/>
      <c r="X9" s="52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0"/>
      <c r="C10" s="193"/>
      <c r="D10" s="194"/>
      <c r="E10" s="193"/>
      <c r="F10" s="195"/>
      <c r="G10" s="193"/>
      <c r="H10" s="196"/>
      <c r="I10" s="196"/>
      <c r="J10" s="532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102651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283275.5</v>
      </c>
      <c r="Q17" s="92" t="e">
        <f t="shared" ref="Q17:Q22" si="3">+O17-P17</f>
        <v>#REF!</v>
      </c>
      <c r="R17" s="92">
        <f>'Execução Orçamentária'!R387</f>
        <v>241931.41</v>
      </c>
      <c r="S17" s="243" t="e">
        <f t="shared" si="2"/>
        <v>#REF!</v>
      </c>
      <c r="T17" s="92">
        <f>'Execução Orçamentária'!S387</f>
        <v>150967.39000000001</v>
      </c>
      <c r="U17" s="93" t="e">
        <f t="shared" si="0"/>
        <v>#REF!</v>
      </c>
      <c r="V17" s="92">
        <f>'Execução Orçamentária'!T387</f>
        <v>138486.93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2022-06-06T17:27:57Z</dcterms:modified>
</cp:coreProperties>
</file>