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14835" windowHeight="1128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Execução'!$A$4:$M$70</definedName>
    <definedName name="_xlnm._FilterDatabase" localSheetId="2" hidden="1">'Base Zero'!$B$1:$E$95</definedName>
    <definedName name="_xlnm._FilterDatabase" localSheetId="5" hidden="1">'Execução Orçamentária'!$B$8:$O$411</definedName>
    <definedName name="_xlnm.Extract" localSheetId="5">'Execução Orçamentária'!$B$411:$B$411</definedName>
    <definedName name="_xlnm.Print_Area" localSheetId="2">'Base Zero'!$A$5:$P$89</definedName>
    <definedName name="_xlnm.Print_Area" localSheetId="5">'Execução Orçamentária'!$A$387:$U$411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6" i="3"/>
  <c r="G312" i="3"/>
  <c r="G308" i="3"/>
  <c r="G319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4" i="3" l="1"/>
  <c r="G91" i="3"/>
  <c r="G119" i="3" l="1"/>
  <c r="G112" i="3"/>
  <c r="G105" i="3"/>
  <c r="G133" i="3"/>
  <c r="G303" i="3" l="1"/>
  <c r="G194" i="3"/>
  <c r="G239" i="3" l="1"/>
  <c r="G333" i="3" l="1"/>
  <c r="G399" i="3" l="1"/>
  <c r="G400" i="3" l="1"/>
  <c r="G215" i="3"/>
  <c r="G382" i="3" l="1"/>
  <c r="G77" i="3"/>
  <c r="G76" i="3"/>
  <c r="G241" i="3"/>
  <c r="G122" i="3"/>
  <c r="G121" i="3"/>
  <c r="G114" i="3"/>
  <c r="G107" i="3"/>
  <c r="G136" i="3"/>
  <c r="G135" i="3" l="1"/>
  <c r="Q392" i="3" l="1"/>
  <c r="Q391" i="3"/>
  <c r="Q378" i="3"/>
  <c r="Q377" i="3"/>
  <c r="Q376" i="3"/>
  <c r="G385" i="3"/>
  <c r="G384" i="3"/>
  <c r="G383" i="3"/>
  <c r="Q381" i="3"/>
  <c r="Q350" i="3"/>
  <c r="Q349" i="3"/>
  <c r="G371" i="3"/>
  <c r="G370" i="3"/>
  <c r="Q369" i="3"/>
  <c r="G367" i="3"/>
  <c r="G366" i="3"/>
  <c r="Q365" i="3"/>
  <c r="G363" i="3"/>
  <c r="G362" i="3"/>
  <c r="Q361" i="3"/>
  <c r="G359" i="3"/>
  <c r="G358" i="3"/>
  <c r="Q357" i="3"/>
  <c r="G355" i="3"/>
  <c r="G354" i="3"/>
  <c r="Q353" i="3"/>
  <c r="Q324" i="3"/>
  <c r="Q323" i="3"/>
  <c r="G329" i="3"/>
  <c r="G328" i="3"/>
  <c r="Q327" i="3"/>
  <c r="G345" i="3"/>
  <c r="Q344" i="3"/>
  <c r="G342" i="3"/>
  <c r="Q341" i="3"/>
  <c r="G339" i="3"/>
  <c r="Q338" i="3"/>
  <c r="G336" i="3"/>
  <c r="Q335" i="3"/>
  <c r="G332" i="3"/>
  <c r="Q331" i="3"/>
  <c r="Q294" i="3"/>
  <c r="Q293" i="3"/>
  <c r="Q292" i="3"/>
  <c r="G301" i="3"/>
  <c r="G315" i="3"/>
  <c r="G311" i="3"/>
  <c r="G307" i="3"/>
  <c r="G302" i="3"/>
  <c r="G300" i="3"/>
  <c r="Q299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3" i="3" l="1"/>
  <c r="Q347" i="3"/>
  <c r="Q321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08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05" i="3" l="1"/>
  <c r="Q402" i="3"/>
  <c r="Q395" i="3"/>
  <c r="G397" i="3"/>
  <c r="Q387" i="3" l="1"/>
  <c r="X5" i="27" l="1"/>
  <c r="N5" i="28"/>
  <c r="G409" i="3"/>
  <c r="G406" i="3"/>
  <c r="G403" i="3"/>
  <c r="G396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2" i="3"/>
  <c r="T319" i="3"/>
  <c r="T318" i="3" s="1"/>
  <c r="R278" i="3"/>
  <c r="R277" i="3" s="1"/>
  <c r="R316" i="3"/>
  <c r="R202" i="3"/>
  <c r="T316" i="3"/>
  <c r="O312" i="3"/>
  <c r="S319" i="3"/>
  <c r="S318" i="3" s="1"/>
  <c r="O278" i="3"/>
  <c r="O277" i="3" s="1"/>
  <c r="T308" i="3"/>
  <c r="O202" i="3"/>
  <c r="S316" i="3"/>
  <c r="R319" i="3"/>
  <c r="R318" i="3" s="1"/>
  <c r="O319" i="3"/>
  <c r="O318" i="3" s="1"/>
  <c r="T198" i="3"/>
  <c r="O316" i="3"/>
  <c r="S308" i="3"/>
  <c r="R198" i="3"/>
  <c r="T312" i="3"/>
  <c r="T278" i="3"/>
  <c r="T277" i="3" s="1"/>
  <c r="O198" i="3"/>
  <c r="S278" i="3"/>
  <c r="S277" i="3" s="1"/>
  <c r="S198" i="3"/>
  <c r="R308" i="3"/>
  <c r="O308" i="3"/>
  <c r="T202" i="3"/>
  <c r="S312" i="3"/>
  <c r="S205" i="3"/>
  <c r="S204" i="3" s="1"/>
  <c r="T205" i="3"/>
  <c r="O205" i="3"/>
  <c r="O204" i="3" s="1"/>
  <c r="R205" i="3"/>
  <c r="R204" i="3" s="1"/>
  <c r="I202" i="3"/>
  <c r="L198" i="3"/>
  <c r="N316" i="3"/>
  <c r="H278" i="3"/>
  <c r="H202" i="3"/>
  <c r="I198" i="3"/>
  <c r="L316" i="3"/>
  <c r="N312" i="3"/>
  <c r="H198" i="3"/>
  <c r="I316" i="3"/>
  <c r="L312" i="3"/>
  <c r="N308" i="3"/>
  <c r="H316" i="3"/>
  <c r="I312" i="3"/>
  <c r="L308" i="3"/>
  <c r="N319" i="3"/>
  <c r="H312" i="3"/>
  <c r="H308" i="3"/>
  <c r="I319" i="3"/>
  <c r="I318" i="3" s="1"/>
  <c r="N278" i="3"/>
  <c r="I308" i="3"/>
  <c r="N202" i="3"/>
  <c r="H319" i="3"/>
  <c r="L278" i="3"/>
  <c r="L202" i="3"/>
  <c r="N198" i="3"/>
  <c r="I278" i="3"/>
  <c r="I277" i="3" s="1"/>
  <c r="L319" i="3"/>
  <c r="I205" i="3"/>
  <c r="I204" i="3" s="1"/>
  <c r="L205" i="3"/>
  <c r="N205" i="3"/>
  <c r="H205" i="3"/>
  <c r="T91" i="3"/>
  <c r="T304" i="3"/>
  <c r="T296" i="3" s="1"/>
  <c r="S91" i="3"/>
  <c r="S86" i="3" s="1"/>
  <c r="R91" i="3"/>
  <c r="R86" i="3" s="1"/>
  <c r="S304" i="3"/>
  <c r="S296" i="3" s="1"/>
  <c r="R304" i="3"/>
  <c r="R296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R187" i="3" s="1"/>
  <c r="S194" i="3"/>
  <c r="S187" i="3" s="1"/>
  <c r="R303" i="3"/>
  <c r="R295" i="3" s="1"/>
  <c r="T303" i="3"/>
  <c r="T295" i="3" s="1"/>
  <c r="S303" i="3"/>
  <c r="S295" i="3" s="1"/>
  <c r="T239" i="3"/>
  <c r="R239" i="3"/>
  <c r="R228" i="3" s="1"/>
  <c r="S239" i="3"/>
  <c r="R333" i="3"/>
  <c r="S333" i="3"/>
  <c r="T333" i="3"/>
  <c r="R399" i="3"/>
  <c r="R389" i="3" s="1"/>
  <c r="T399" i="3"/>
  <c r="T389" i="3" s="1"/>
  <c r="S399" i="3"/>
  <c r="T400" i="3"/>
  <c r="T215" i="3"/>
  <c r="S400" i="3"/>
  <c r="R400" i="3"/>
  <c r="S215" i="3"/>
  <c r="S210" i="3" s="1"/>
  <c r="R215" i="3"/>
  <c r="R210" i="3" s="1"/>
  <c r="T77" i="3"/>
  <c r="R382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2" i="3"/>
  <c r="S375" i="3" s="1"/>
  <c r="T136" i="3"/>
  <c r="R114" i="3"/>
  <c r="R113" i="3" s="1"/>
  <c r="R121" i="3"/>
  <c r="S136" i="3"/>
  <c r="S128" i="3" s="1"/>
  <c r="T121" i="3"/>
  <c r="T107" i="3"/>
  <c r="R136" i="3"/>
  <c r="T382" i="3"/>
  <c r="T375" i="3" s="1"/>
  <c r="R135" i="3"/>
  <c r="S135" i="3"/>
  <c r="T135" i="3"/>
  <c r="R21" i="3"/>
  <c r="S159" i="3"/>
  <c r="S158" i="3" s="1"/>
  <c r="S264" i="3"/>
  <c r="T371" i="3"/>
  <c r="R22" i="3"/>
  <c r="S193" i="3"/>
  <c r="S362" i="3"/>
  <c r="S16" i="3"/>
  <c r="S162" i="3"/>
  <c r="S161" i="3" s="1"/>
  <c r="T214" i="3"/>
  <c r="R300" i="3"/>
  <c r="T46" i="3"/>
  <c r="R79" i="3"/>
  <c r="R70" i="3" s="1"/>
  <c r="R201" i="3"/>
  <c r="S268" i="3"/>
  <c r="T90" i="3"/>
  <c r="R17" i="3"/>
  <c r="S165" i="3"/>
  <c r="S164" i="3" s="1"/>
  <c r="S238" i="3"/>
  <c r="R269" i="3"/>
  <c r="R332" i="3"/>
  <c r="T366" i="3"/>
  <c r="R370" i="3"/>
  <c r="S55" i="3"/>
  <c r="S54" i="3" s="1"/>
  <c r="T145" i="3"/>
  <c r="R244" i="3"/>
  <c r="T367" i="3"/>
  <c r="R27" i="3"/>
  <c r="T156" i="3"/>
  <c r="T151" i="3" s="1"/>
  <c r="S245" i="3"/>
  <c r="S336" i="3"/>
  <c r="S335" i="3" s="1"/>
  <c r="T358" i="3"/>
  <c r="T269" i="3"/>
  <c r="T260" i="3" s="1"/>
  <c r="S118" i="3"/>
  <c r="T315" i="3"/>
  <c r="R193" i="3"/>
  <c r="R35" i="3"/>
  <c r="S332" i="3"/>
  <c r="T245" i="3"/>
  <c r="S21" i="3"/>
  <c r="T171" i="3"/>
  <c r="T170" i="3" s="1"/>
  <c r="R264" i="3"/>
  <c r="S371" i="3"/>
  <c r="T49" i="3"/>
  <c r="T193" i="3"/>
  <c r="R362" i="3"/>
  <c r="S78" i="3"/>
  <c r="R162" i="3"/>
  <c r="R161" i="3" s="1"/>
  <c r="S214" i="3"/>
  <c r="T342" i="3"/>
  <c r="T341" i="3" s="1"/>
  <c r="S46" i="3"/>
  <c r="S45" i="3" s="1"/>
  <c r="T79" i="3"/>
  <c r="R218" i="3"/>
  <c r="R217" i="3" s="1"/>
  <c r="T268" i="3"/>
  <c r="S90" i="3"/>
  <c r="T80" i="3"/>
  <c r="T71" i="3" s="1"/>
  <c r="T165" i="3"/>
  <c r="T164" i="3" s="1"/>
  <c r="R238" i="3"/>
  <c r="T287" i="3"/>
  <c r="T332" i="3"/>
  <c r="S366" i="3"/>
  <c r="T26" i="3"/>
  <c r="R55" i="3"/>
  <c r="R54" i="3" s="1"/>
  <c r="S145" i="3"/>
  <c r="R288" i="3"/>
  <c r="R283" i="3" s="1"/>
  <c r="S367" i="3"/>
  <c r="T27" i="3"/>
  <c r="T168" i="3"/>
  <c r="R245" i="3"/>
  <c r="T336" i="3"/>
  <c r="T385" i="3"/>
  <c r="T378" i="3" s="1"/>
  <c r="R111" i="3"/>
  <c r="T244" i="3"/>
  <c r="T264" i="3"/>
  <c r="R46" i="3"/>
  <c r="R45" i="3" s="1"/>
  <c r="R221" i="3"/>
  <c r="R329" i="3"/>
  <c r="T21" i="3"/>
  <c r="S171" i="3"/>
  <c r="S170" i="3" s="1"/>
  <c r="T275" i="3"/>
  <c r="T274" i="3" s="1"/>
  <c r="R371" i="3"/>
  <c r="S49" i="3"/>
  <c r="S48" i="3" s="1"/>
  <c r="R233" i="3"/>
  <c r="T362" i="3"/>
  <c r="T78" i="3"/>
  <c r="S174" i="3"/>
  <c r="R214" i="3"/>
  <c r="S342" i="3"/>
  <c r="S341" i="3" s="1"/>
  <c r="R52" i="3"/>
  <c r="R51" i="3" s="1"/>
  <c r="S79" i="3"/>
  <c r="S70" i="3" s="1"/>
  <c r="T218" i="3"/>
  <c r="T217" i="3" s="1"/>
  <c r="T302" i="3"/>
  <c r="R90" i="3"/>
  <c r="S80" i="3"/>
  <c r="T177" i="3"/>
  <c r="T238" i="3"/>
  <c r="S287" i="3"/>
  <c r="R345" i="3"/>
  <c r="R344" i="3" s="1"/>
  <c r="R366" i="3"/>
  <c r="S26" i="3"/>
  <c r="R81" i="3"/>
  <c r="R145" i="3"/>
  <c r="T288" i="3"/>
  <c r="T283" i="3" s="1"/>
  <c r="S384" i="3"/>
  <c r="S377" i="3" s="1"/>
  <c r="S27" i="3"/>
  <c r="S168" i="3"/>
  <c r="S167" i="3" s="1"/>
  <c r="S272" i="3"/>
  <c r="S271" i="3" s="1"/>
  <c r="R336" i="3"/>
  <c r="R385" i="3"/>
  <c r="R378" i="3" s="1"/>
  <c r="S307" i="3"/>
  <c r="S329" i="3"/>
  <c r="R265" i="3"/>
  <c r="R259" i="3" s="1"/>
  <c r="S17" i="3"/>
  <c r="R118" i="3"/>
  <c r="T63" i="3"/>
  <c r="R171" i="3"/>
  <c r="R275" i="3"/>
  <c r="R274" i="3" s="1"/>
  <c r="T359" i="3"/>
  <c r="R49" i="3"/>
  <c r="R48" i="3" s="1"/>
  <c r="S233" i="3"/>
  <c r="T301" i="3"/>
  <c r="R78" i="3"/>
  <c r="R174" i="3"/>
  <c r="R173" i="3" s="1"/>
  <c r="T236" i="3"/>
  <c r="R342" i="3"/>
  <c r="R341" i="3" s="1"/>
  <c r="T52" i="3"/>
  <c r="T51" i="3" s="1"/>
  <c r="T104" i="3"/>
  <c r="S218" i="3"/>
  <c r="S217" i="3" s="1"/>
  <c r="S302" i="3"/>
  <c r="S294" i="3" s="1"/>
  <c r="R191" i="3"/>
  <c r="R80" i="3"/>
  <c r="R71" i="3" s="1"/>
  <c r="S177" i="3"/>
  <c r="R253" i="3"/>
  <c r="R287" i="3"/>
  <c r="T345" i="3"/>
  <c r="T344" i="3" s="1"/>
  <c r="T383" i="3"/>
  <c r="R26" i="3"/>
  <c r="S81" i="3"/>
  <c r="S72" i="3" s="1"/>
  <c r="T155" i="3"/>
  <c r="S288" i="3"/>
  <c r="R384" i="3"/>
  <c r="R377" i="3" s="1"/>
  <c r="R146" i="3"/>
  <c r="R141" i="3" s="1"/>
  <c r="R168" i="3"/>
  <c r="R167" i="3" s="1"/>
  <c r="T272" i="3"/>
  <c r="T271" i="3" s="1"/>
  <c r="T328" i="3"/>
  <c r="S385" i="3"/>
  <c r="S378" i="3" s="1"/>
  <c r="T17" i="3"/>
  <c r="R311" i="3"/>
  <c r="S339" i="3"/>
  <c r="S300" i="3"/>
  <c r="S269" i="3"/>
  <c r="S260" i="3" s="1"/>
  <c r="R367" i="3"/>
  <c r="S63" i="3"/>
  <c r="T192" i="3"/>
  <c r="S275" i="3"/>
  <c r="S274" i="3" s="1"/>
  <c r="S359" i="3"/>
  <c r="R94" i="3"/>
  <c r="R93" i="3" s="1"/>
  <c r="T233" i="3"/>
  <c r="S301" i="3"/>
  <c r="R132" i="3"/>
  <c r="T174" i="3"/>
  <c r="T173" i="3" s="1"/>
  <c r="S236" i="3"/>
  <c r="R363" i="3"/>
  <c r="S52" i="3"/>
  <c r="S104" i="3"/>
  <c r="T237" i="3"/>
  <c r="R302" i="3"/>
  <c r="T191" i="3"/>
  <c r="T111" i="3"/>
  <c r="R177" i="3"/>
  <c r="R176" i="3" s="1"/>
  <c r="T253" i="3"/>
  <c r="T307" i="3"/>
  <c r="S345" i="3"/>
  <c r="S344" i="3" s="1"/>
  <c r="S383" i="3"/>
  <c r="S43" i="3"/>
  <c r="T81" i="3"/>
  <c r="T72" i="3" s="1"/>
  <c r="S155" i="3"/>
  <c r="T311" i="3"/>
  <c r="T384" i="3"/>
  <c r="T377" i="3" s="1"/>
  <c r="T146" i="3"/>
  <c r="S180" i="3"/>
  <c r="S179" i="3" s="1"/>
  <c r="R272" i="3"/>
  <c r="R271" i="3" s="1"/>
  <c r="S328" i="3"/>
  <c r="S354" i="3"/>
  <c r="T370" i="3"/>
  <c r="T180" i="3"/>
  <c r="T179" i="3" s="1"/>
  <c r="S22" i="3"/>
  <c r="R354" i="3"/>
  <c r="T55" i="3"/>
  <c r="T54" i="3" s="1"/>
  <c r="R358" i="3"/>
  <c r="R63" i="3"/>
  <c r="S192" i="3"/>
  <c r="R339" i="3"/>
  <c r="R338" i="3" s="1"/>
  <c r="R359" i="3"/>
  <c r="T94" i="3"/>
  <c r="T93" i="3" s="1"/>
  <c r="T265" i="3"/>
  <c r="R301" i="3"/>
  <c r="T132" i="3"/>
  <c r="T197" i="3"/>
  <c r="R236" i="3"/>
  <c r="T363" i="3"/>
  <c r="T35" i="3"/>
  <c r="R104" i="3"/>
  <c r="S237" i="3"/>
  <c r="T354" i="3"/>
  <c r="S191" i="3"/>
  <c r="S111" i="3"/>
  <c r="T221" i="3"/>
  <c r="T220" i="3" s="1"/>
  <c r="S253" i="3"/>
  <c r="R307" i="3"/>
  <c r="R306" i="3" s="1"/>
  <c r="T355" i="3"/>
  <c r="R383" i="3"/>
  <c r="R43" i="3"/>
  <c r="T118" i="3"/>
  <c r="R155" i="3"/>
  <c r="S311" i="3"/>
  <c r="T329" i="3"/>
  <c r="S146" i="3"/>
  <c r="S141" i="3" s="1"/>
  <c r="R180" i="3"/>
  <c r="R179" i="3" s="1"/>
  <c r="R315" i="3"/>
  <c r="R328" i="3"/>
  <c r="R237" i="3"/>
  <c r="T43" i="3"/>
  <c r="S358" i="3"/>
  <c r="R197" i="3"/>
  <c r="R268" i="3"/>
  <c r="S370" i="3"/>
  <c r="S315" i="3"/>
  <c r="R159" i="3"/>
  <c r="R158" i="3" s="1"/>
  <c r="R192" i="3"/>
  <c r="T339" i="3"/>
  <c r="T338" i="3" s="1"/>
  <c r="T22" i="3"/>
  <c r="S94" i="3"/>
  <c r="S93" i="3" s="1"/>
  <c r="S265" i="3"/>
  <c r="S259" i="3" s="1"/>
  <c r="R16" i="3"/>
  <c r="S132" i="3"/>
  <c r="S197" i="3"/>
  <c r="T300" i="3"/>
  <c r="S363" i="3"/>
  <c r="S35" i="3"/>
  <c r="T201" i="3"/>
  <c r="S221" i="3"/>
  <c r="S220" i="3" s="1"/>
  <c r="S355" i="3"/>
  <c r="S156" i="3"/>
  <c r="T16" i="3"/>
  <c r="S201" i="3"/>
  <c r="S200" i="3" s="1"/>
  <c r="R355" i="3"/>
  <c r="R156" i="3"/>
  <c r="R151" i="3" s="1"/>
  <c r="T159" i="3"/>
  <c r="T158" i="3" s="1"/>
  <c r="T162" i="3"/>
  <c r="T161" i="3" s="1"/>
  <c r="R165" i="3"/>
  <c r="R164" i="3" s="1"/>
  <c r="S244" i="3"/>
  <c r="R397" i="3"/>
  <c r="R392" i="3" s="1"/>
  <c r="T397" i="3"/>
  <c r="T392" i="3" s="1"/>
  <c r="S397" i="3"/>
  <c r="S392" i="3" s="1"/>
  <c r="T396" i="3"/>
  <c r="S396" i="3"/>
  <c r="R396" i="3"/>
  <c r="S403" i="3"/>
  <c r="R403" i="3"/>
  <c r="T403" i="3"/>
  <c r="T406" i="3"/>
  <c r="S406" i="3"/>
  <c r="R406" i="3"/>
  <c r="S409" i="3"/>
  <c r="T409" i="3"/>
  <c r="R409" i="3"/>
  <c r="N409" i="3"/>
  <c r="N384" i="3"/>
  <c r="N377" i="3" s="1"/>
  <c r="N362" i="3"/>
  <c r="N336" i="3"/>
  <c r="N335" i="3" s="1"/>
  <c r="N304" i="3"/>
  <c r="N296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06" i="3"/>
  <c r="N383" i="3"/>
  <c r="N359" i="3"/>
  <c r="N333" i="3"/>
  <c r="N269" i="3"/>
  <c r="N260" i="3" s="1"/>
  <c r="N104" i="3"/>
  <c r="N403" i="3"/>
  <c r="N382" i="3"/>
  <c r="N375" i="3" s="1"/>
  <c r="N358" i="3"/>
  <c r="N332" i="3"/>
  <c r="N302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39" i="3"/>
  <c r="N338" i="3" s="1"/>
  <c r="N191" i="3"/>
  <c r="N46" i="3"/>
  <c r="N177" i="3"/>
  <c r="N176" i="3" s="1"/>
  <c r="N400" i="3"/>
  <c r="N371" i="3"/>
  <c r="N355" i="3"/>
  <c r="N329" i="3"/>
  <c r="N301" i="3"/>
  <c r="N265" i="3"/>
  <c r="N259" i="3" s="1"/>
  <c r="N237" i="3"/>
  <c r="N197" i="3"/>
  <c r="N171" i="3"/>
  <c r="N170" i="3" s="1"/>
  <c r="N145" i="3"/>
  <c r="N118" i="3"/>
  <c r="N91" i="3"/>
  <c r="N86" i="3" s="1"/>
  <c r="N63" i="3"/>
  <c r="N26" i="3"/>
  <c r="N363" i="3"/>
  <c r="N218" i="3"/>
  <c r="N217" i="3" s="1"/>
  <c r="N107" i="3"/>
  <c r="N214" i="3"/>
  <c r="N35" i="3"/>
  <c r="N399" i="3"/>
  <c r="N370" i="3"/>
  <c r="N354" i="3"/>
  <c r="N328" i="3"/>
  <c r="N300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7" i="3"/>
  <c r="N159" i="3"/>
  <c r="N158" i="3" s="1"/>
  <c r="N16" i="3"/>
  <c r="N121" i="3"/>
  <c r="N397" i="3"/>
  <c r="N392" i="3" s="1"/>
  <c r="N367" i="3"/>
  <c r="N345" i="3"/>
  <c r="N344" i="3" s="1"/>
  <c r="N315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396" i="3"/>
  <c r="N366" i="3"/>
  <c r="N342" i="3"/>
  <c r="N341" i="3" s="1"/>
  <c r="N311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85" i="3"/>
  <c r="N378" i="3" s="1"/>
  <c r="N275" i="3"/>
  <c r="N274" i="3" s="1"/>
  <c r="N132" i="3"/>
  <c r="N303" i="3"/>
  <c r="N295" i="3" s="1"/>
  <c r="N155" i="3"/>
  <c r="L304" i="3"/>
  <c r="I304" i="3"/>
  <c r="I296" i="3" s="1"/>
  <c r="H91" i="3"/>
  <c r="H304" i="3"/>
  <c r="L91" i="3"/>
  <c r="I91" i="3"/>
  <c r="I86" i="3" s="1"/>
  <c r="T86" i="3"/>
  <c r="O304" i="3"/>
  <c r="O91" i="3"/>
  <c r="R67" i="3"/>
  <c r="O63" i="3"/>
  <c r="O26" i="3"/>
  <c r="O400" i="3"/>
  <c r="O371" i="3"/>
  <c r="O355" i="3"/>
  <c r="O329" i="3"/>
  <c r="O300" i="3"/>
  <c r="O264" i="3"/>
  <c r="O236" i="3"/>
  <c r="O194" i="3"/>
  <c r="O168" i="3"/>
  <c r="O136" i="3"/>
  <c r="O111" i="3"/>
  <c r="O81" i="3"/>
  <c r="O55" i="3"/>
  <c r="O22" i="3"/>
  <c r="O399" i="3"/>
  <c r="O370" i="3"/>
  <c r="O354" i="3"/>
  <c r="O328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397" i="3"/>
  <c r="O392" i="3" s="1"/>
  <c r="O367" i="3"/>
  <c r="O345" i="3"/>
  <c r="O315" i="3"/>
  <c r="O314" i="3" s="1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396" i="3"/>
  <c r="O366" i="3"/>
  <c r="O342" i="3"/>
  <c r="O311" i="3"/>
  <c r="O244" i="3"/>
  <c r="O191" i="3"/>
  <c r="O107" i="3"/>
  <c r="O90" i="3"/>
  <c r="O46" i="3"/>
  <c r="O16" i="3"/>
  <c r="O385" i="3"/>
  <c r="O363" i="3"/>
  <c r="O339" i="3"/>
  <c r="O307" i="3"/>
  <c r="O272" i="3"/>
  <c r="O241" i="3"/>
  <c r="O215" i="3"/>
  <c r="O180" i="3"/>
  <c r="O156" i="3"/>
  <c r="O122" i="3"/>
  <c r="O105" i="3"/>
  <c r="O77" i="3"/>
  <c r="O118" i="3"/>
  <c r="O43" i="3"/>
  <c r="O409" i="3"/>
  <c r="O384" i="3"/>
  <c r="O362" i="3"/>
  <c r="O336" i="3"/>
  <c r="O303" i="3"/>
  <c r="O269" i="3"/>
  <c r="O239" i="3"/>
  <c r="O228" i="3" s="1"/>
  <c r="O214" i="3"/>
  <c r="O177" i="3"/>
  <c r="O155" i="3"/>
  <c r="O121" i="3"/>
  <c r="O104" i="3"/>
  <c r="O76" i="3"/>
  <c r="O332" i="3"/>
  <c r="O197" i="3"/>
  <c r="O35" i="3"/>
  <c r="O406" i="3"/>
  <c r="O383" i="3"/>
  <c r="O359" i="3"/>
  <c r="O333" i="3"/>
  <c r="O302" i="3"/>
  <c r="O268" i="3"/>
  <c r="O238" i="3"/>
  <c r="O201" i="3"/>
  <c r="O174" i="3"/>
  <c r="O146" i="3"/>
  <c r="O119" i="3"/>
  <c r="O94" i="3"/>
  <c r="O27" i="3"/>
  <c r="O403" i="3"/>
  <c r="O382" i="3"/>
  <c r="O358" i="3"/>
  <c r="O301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I303" i="3"/>
  <c r="I295" i="3" s="1"/>
  <c r="H303" i="3"/>
  <c r="L303" i="3"/>
  <c r="L194" i="3"/>
  <c r="I194" i="3"/>
  <c r="I187" i="3" s="1"/>
  <c r="H194" i="3"/>
  <c r="T228" i="3"/>
  <c r="S228" i="3"/>
  <c r="L239" i="3"/>
  <c r="L228" i="3" s="1"/>
  <c r="I239" i="3"/>
  <c r="I228" i="3" s="1"/>
  <c r="H239" i="3"/>
  <c r="H228" i="3" s="1"/>
  <c r="L333" i="3"/>
  <c r="I333" i="3"/>
  <c r="H333" i="3"/>
  <c r="H399" i="3"/>
  <c r="I399" i="3"/>
  <c r="I389" i="3" s="1"/>
  <c r="L399" i="3"/>
  <c r="S389" i="3"/>
  <c r="I400" i="3"/>
  <c r="H400" i="3"/>
  <c r="L400" i="3"/>
  <c r="I215" i="3"/>
  <c r="I210" i="3" s="1"/>
  <c r="H215" i="3"/>
  <c r="L215" i="3"/>
  <c r="I121" i="3"/>
  <c r="I122" i="3"/>
  <c r="L121" i="3"/>
  <c r="L382" i="3"/>
  <c r="H121" i="3"/>
  <c r="I382" i="3"/>
  <c r="I375" i="3" s="1"/>
  <c r="H122" i="3"/>
  <c r="H382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R375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7" i="3"/>
  <c r="L384" i="3"/>
  <c r="L363" i="3"/>
  <c r="H370" i="3"/>
  <c r="L354" i="3"/>
  <c r="H345" i="3"/>
  <c r="L328" i="3"/>
  <c r="H332" i="3"/>
  <c r="L315" i="3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2" i="3"/>
  <c r="L355" i="3"/>
  <c r="I342" i="3"/>
  <c r="I341" i="3" s="1"/>
  <c r="L301" i="3"/>
  <c r="L288" i="3"/>
  <c r="L272" i="3"/>
  <c r="I245" i="3"/>
  <c r="H165" i="3"/>
  <c r="I49" i="3"/>
  <c r="I48" i="3" s="1"/>
  <c r="I27" i="3"/>
  <c r="L245" i="3"/>
  <c r="I362" i="3"/>
  <c r="L336" i="3"/>
  <c r="L275" i="3"/>
  <c r="H156" i="3"/>
  <c r="I46" i="3"/>
  <c r="I45" i="3" s="1"/>
  <c r="L27" i="3"/>
  <c r="H22" i="3"/>
  <c r="L94" i="3"/>
  <c r="H253" i="3"/>
  <c r="H272" i="3"/>
  <c r="H383" i="3"/>
  <c r="H359" i="3"/>
  <c r="L371" i="3"/>
  <c r="H355" i="3"/>
  <c r="H363" i="3"/>
  <c r="L345" i="3"/>
  <c r="I345" i="3"/>
  <c r="I344" i="3" s="1"/>
  <c r="L329" i="3"/>
  <c r="L302" i="3"/>
  <c r="L294" i="3" s="1"/>
  <c r="I302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2" i="3"/>
  <c r="L244" i="3"/>
  <c r="I104" i="3"/>
  <c r="H78" i="3"/>
  <c r="I26" i="3"/>
  <c r="L237" i="3"/>
  <c r="I383" i="3"/>
  <c r="I370" i="3"/>
  <c r="I328" i="3"/>
  <c r="H300" i="3"/>
  <c r="H233" i="3"/>
  <c r="L165" i="3"/>
  <c r="L104" i="3"/>
  <c r="L21" i="3"/>
  <c r="L264" i="3"/>
  <c r="H275" i="3"/>
  <c r="H287" i="3"/>
  <c r="H315" i="3"/>
  <c r="H314" i="3" s="1"/>
  <c r="L359" i="3"/>
  <c r="H366" i="3"/>
  <c r="L370" i="3"/>
  <c r="I355" i="3"/>
  <c r="H367" i="3"/>
  <c r="L332" i="3"/>
  <c r="H339" i="3"/>
  <c r="I301" i="3"/>
  <c r="I293" i="3" s="1"/>
  <c r="I311" i="3"/>
  <c r="I310" i="3" s="1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36" i="3"/>
  <c r="H335" i="3" s="1"/>
  <c r="H385" i="3"/>
  <c r="H371" i="3"/>
  <c r="L311" i="3"/>
  <c r="L310" i="3" s="1"/>
  <c r="H265" i="3"/>
  <c r="L236" i="3"/>
  <c r="L191" i="3"/>
  <c r="H155" i="3"/>
  <c r="L180" i="3"/>
  <c r="L146" i="3"/>
  <c r="I94" i="3"/>
  <c r="I93" i="3" s="1"/>
  <c r="H63" i="3"/>
  <c r="L17" i="3"/>
  <c r="L132" i="3"/>
  <c r="L385" i="3"/>
  <c r="I385" i="3"/>
  <c r="I378" i="3" s="1"/>
  <c r="I363" i="3"/>
  <c r="I329" i="3"/>
  <c r="I238" i="3"/>
  <c r="L193" i="3"/>
  <c r="L186" i="3" s="1"/>
  <c r="L171" i="3"/>
  <c r="L79" i="3"/>
  <c r="H52" i="3"/>
  <c r="L174" i="3"/>
  <c r="L300" i="3"/>
  <c r="L145" i="3"/>
  <c r="L177" i="3"/>
  <c r="L383" i="3"/>
  <c r="H384" i="3"/>
  <c r="L366" i="3"/>
  <c r="H354" i="3"/>
  <c r="I367" i="3"/>
  <c r="L339" i="3"/>
  <c r="I332" i="3"/>
  <c r="H329" i="3"/>
  <c r="H301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66" i="3"/>
  <c r="L342" i="3"/>
  <c r="H311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67" i="3"/>
  <c r="L358" i="3"/>
  <c r="H358" i="3"/>
  <c r="I354" i="3"/>
  <c r="I371" i="3"/>
  <c r="H342" i="3"/>
  <c r="I339" i="3"/>
  <c r="I338" i="3" s="1"/>
  <c r="H328" i="3"/>
  <c r="I315" i="3"/>
  <c r="I314" i="3" s="1"/>
  <c r="I307" i="3"/>
  <c r="I306" i="3" s="1"/>
  <c r="H307" i="3"/>
  <c r="H306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4" i="3"/>
  <c r="I377" i="3" s="1"/>
  <c r="L362" i="3"/>
  <c r="I359" i="3"/>
  <c r="I336" i="3"/>
  <c r="H288" i="3"/>
  <c r="H269" i="3"/>
  <c r="H238" i="3"/>
  <c r="H214" i="3"/>
  <c r="H192" i="3"/>
  <c r="L162" i="3"/>
  <c r="I177" i="3"/>
  <c r="I176" i="3" s="1"/>
  <c r="H132" i="3"/>
  <c r="H55" i="3"/>
  <c r="I358" i="3"/>
  <c r="I300" i="3"/>
  <c r="H168" i="3"/>
  <c r="H43" i="3"/>
  <c r="H16" i="3"/>
  <c r="T167" i="3"/>
  <c r="S338" i="3"/>
  <c r="R335" i="3"/>
  <c r="S51" i="3"/>
  <c r="S151" i="3"/>
  <c r="T70" i="3"/>
  <c r="T45" i="3"/>
  <c r="T141" i="3"/>
  <c r="T335" i="3"/>
  <c r="T259" i="3"/>
  <c r="R170" i="3"/>
  <c r="S173" i="3"/>
  <c r="T176" i="3"/>
  <c r="S176" i="3"/>
  <c r="S283" i="3"/>
  <c r="T48" i="3"/>
  <c r="R72" i="3"/>
  <c r="S71" i="3"/>
  <c r="R260" i="3"/>
  <c r="L397" i="3"/>
  <c r="L392" i="3" s="1"/>
  <c r="H397" i="3"/>
  <c r="H392" i="3" s="1"/>
  <c r="I397" i="3"/>
  <c r="I392" i="3" s="1"/>
  <c r="P15" i="27"/>
  <c r="P14" i="27"/>
  <c r="P18" i="27"/>
  <c r="L396" i="3"/>
  <c r="L403" i="3"/>
  <c r="L406" i="3"/>
  <c r="L409" i="3"/>
  <c r="H409" i="3"/>
  <c r="H408" i="3" s="1"/>
  <c r="I409" i="3"/>
  <c r="I406" i="3"/>
  <c r="I396" i="3"/>
  <c r="H403" i="3"/>
  <c r="H402" i="3" s="1"/>
  <c r="H406" i="3"/>
  <c r="H405" i="3" s="1"/>
  <c r="H396" i="3"/>
  <c r="I403" i="3"/>
  <c r="T314" i="3" l="1"/>
  <c r="O200" i="3"/>
  <c r="T310" i="3"/>
  <c r="S310" i="3"/>
  <c r="N306" i="3"/>
  <c r="H186" i="3"/>
  <c r="L258" i="3"/>
  <c r="J312" i="3"/>
  <c r="K312" i="3" s="1"/>
  <c r="N196" i="3"/>
  <c r="O306" i="3"/>
  <c r="S306" i="3"/>
  <c r="R310" i="3"/>
  <c r="P202" i="3"/>
  <c r="L314" i="3"/>
  <c r="L306" i="3"/>
  <c r="L293" i="3"/>
  <c r="H294" i="3"/>
  <c r="J202" i="3"/>
  <c r="K202" i="3" s="1"/>
  <c r="J308" i="3"/>
  <c r="K308" i="3" s="1"/>
  <c r="P316" i="3"/>
  <c r="O294" i="3"/>
  <c r="O186" i="3"/>
  <c r="T200" i="3"/>
  <c r="R196" i="3"/>
  <c r="T293" i="3"/>
  <c r="T306" i="3"/>
  <c r="T294" i="3"/>
  <c r="P308" i="3"/>
  <c r="J22" i="3"/>
  <c r="K22" i="3" s="1"/>
  <c r="T185" i="3"/>
  <c r="S185" i="3"/>
  <c r="O310" i="3"/>
  <c r="T196" i="3"/>
  <c r="P312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4" i="3"/>
  <c r="R314" i="3"/>
  <c r="P198" i="3"/>
  <c r="N314" i="3"/>
  <c r="N200" i="3"/>
  <c r="N185" i="3"/>
  <c r="N186" i="3"/>
  <c r="N293" i="3"/>
  <c r="M312" i="3"/>
  <c r="N310" i="3"/>
  <c r="N294" i="3"/>
  <c r="M202" i="3"/>
  <c r="L185" i="3"/>
  <c r="J205" i="3"/>
  <c r="J204" i="3" s="1"/>
  <c r="H204" i="3"/>
  <c r="L277" i="3"/>
  <c r="M278" i="3"/>
  <c r="M277" i="3" s="1"/>
  <c r="N318" i="3"/>
  <c r="U318" i="3" s="1"/>
  <c r="P319" i="3"/>
  <c r="P318" i="3" s="1"/>
  <c r="I185" i="3"/>
  <c r="N204" i="3"/>
  <c r="U204" i="3" s="1"/>
  <c r="P205" i="3"/>
  <c r="P204" i="3" s="1"/>
  <c r="J319" i="3"/>
  <c r="J318" i="3" s="1"/>
  <c r="H318" i="3"/>
  <c r="M308" i="3"/>
  <c r="M316" i="3"/>
  <c r="H310" i="3"/>
  <c r="L204" i="3"/>
  <c r="M205" i="3"/>
  <c r="M204" i="3" s="1"/>
  <c r="J198" i="3"/>
  <c r="K198" i="3" s="1"/>
  <c r="H185" i="3"/>
  <c r="J316" i="3"/>
  <c r="K316" i="3" s="1"/>
  <c r="L200" i="3"/>
  <c r="L318" i="3"/>
  <c r="M319" i="3"/>
  <c r="M318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1" i="3"/>
  <c r="L324" i="3"/>
  <c r="I299" i="3"/>
  <c r="S103" i="3"/>
  <c r="M13" i="19" s="1"/>
  <c r="T89" i="3"/>
  <c r="S89" i="3"/>
  <c r="I365" i="3"/>
  <c r="N227" i="3"/>
  <c r="L89" i="3"/>
  <c r="T110" i="3"/>
  <c r="L299" i="3"/>
  <c r="I89" i="3"/>
  <c r="N89" i="3"/>
  <c r="S68" i="3"/>
  <c r="R89" i="3"/>
  <c r="L86" i="3"/>
  <c r="M91" i="3"/>
  <c r="M86" i="3" s="1"/>
  <c r="J304" i="3"/>
  <c r="H296" i="3"/>
  <c r="J91" i="3"/>
  <c r="J86" i="3" s="1"/>
  <c r="H86" i="3"/>
  <c r="L296" i="3"/>
  <c r="M304" i="3"/>
  <c r="M296" i="3" s="1"/>
  <c r="O86" i="3"/>
  <c r="P91" i="3"/>
  <c r="P86" i="3" s="1"/>
  <c r="O296" i="3"/>
  <c r="P304" i="3"/>
  <c r="P296" i="3" s="1"/>
  <c r="O89" i="3"/>
  <c r="T299" i="3"/>
  <c r="O299" i="3"/>
  <c r="S299" i="3"/>
  <c r="N299" i="3"/>
  <c r="H299" i="3"/>
  <c r="R299" i="3"/>
  <c r="L131" i="3"/>
  <c r="J81" i="3"/>
  <c r="K81" i="3" s="1"/>
  <c r="M400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89" i="3"/>
  <c r="M399" i="3"/>
  <c r="M389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4" i="3"/>
  <c r="I227" i="3"/>
  <c r="H213" i="3"/>
  <c r="T331" i="3"/>
  <c r="T324" i="3"/>
  <c r="H187" i="3"/>
  <c r="J194" i="3"/>
  <c r="J187" i="3" s="1"/>
  <c r="L187" i="3"/>
  <c r="M194" i="3"/>
  <c r="M187" i="3" s="1"/>
  <c r="L295" i="3"/>
  <c r="M303" i="3"/>
  <c r="M295" i="3" s="1"/>
  <c r="J303" i="3"/>
  <c r="J295" i="3" s="1"/>
  <c r="H295" i="3"/>
  <c r="O324" i="3"/>
  <c r="O187" i="3"/>
  <c r="P194" i="3"/>
  <c r="P187" i="3" s="1"/>
  <c r="P303" i="3"/>
  <c r="P295" i="3" s="1"/>
  <c r="O295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1" i="3"/>
  <c r="L235" i="3"/>
  <c r="R235" i="3"/>
  <c r="N235" i="3"/>
  <c r="T235" i="3"/>
  <c r="O235" i="3"/>
  <c r="H324" i="3"/>
  <c r="I235" i="3"/>
  <c r="M239" i="3"/>
  <c r="M228" i="3" s="1"/>
  <c r="L398" i="3"/>
  <c r="H235" i="3"/>
  <c r="N324" i="3"/>
  <c r="R324" i="3"/>
  <c r="H331" i="3"/>
  <c r="I324" i="3"/>
  <c r="J333" i="3"/>
  <c r="K333" i="3" s="1"/>
  <c r="I331" i="3"/>
  <c r="H398" i="3"/>
  <c r="S331" i="3"/>
  <c r="P333" i="3"/>
  <c r="S398" i="3"/>
  <c r="O331" i="3"/>
  <c r="R331" i="3"/>
  <c r="M333" i="3"/>
  <c r="T398" i="3"/>
  <c r="N398" i="3"/>
  <c r="I398" i="3"/>
  <c r="R398" i="3"/>
  <c r="L389" i="3"/>
  <c r="H389" i="3"/>
  <c r="J399" i="3"/>
  <c r="J389" i="3" s="1"/>
  <c r="O398" i="3"/>
  <c r="O389" i="3"/>
  <c r="P399" i="3"/>
  <c r="P389" i="3" s="1"/>
  <c r="L126" i="3"/>
  <c r="H11" i="3"/>
  <c r="H134" i="3"/>
  <c r="I134" i="3"/>
  <c r="N213" i="3"/>
  <c r="L134" i="3"/>
  <c r="J400" i="3"/>
  <c r="K400" i="3" s="1"/>
  <c r="O213" i="3"/>
  <c r="P400" i="3"/>
  <c r="T67" i="3"/>
  <c r="J122" i="3"/>
  <c r="K122" i="3" s="1"/>
  <c r="S213" i="3"/>
  <c r="O126" i="3"/>
  <c r="M367" i="3"/>
  <c r="N361" i="3"/>
  <c r="O134" i="3"/>
  <c r="I11" i="3"/>
  <c r="J80" i="3"/>
  <c r="K80" i="3" s="1"/>
  <c r="I243" i="3"/>
  <c r="T134" i="3"/>
  <c r="T68" i="3"/>
  <c r="I109" i="3"/>
  <c r="P122" i="3"/>
  <c r="S134" i="3"/>
  <c r="T213" i="3"/>
  <c r="L381" i="3"/>
  <c r="R120" i="3"/>
  <c r="T120" i="3"/>
  <c r="N100" i="3"/>
  <c r="N106" i="3"/>
  <c r="L128" i="3"/>
  <c r="M136" i="3"/>
  <c r="M128" i="3" s="1"/>
  <c r="L375" i="3"/>
  <c r="M382" i="3"/>
  <c r="M375" i="3" s="1"/>
  <c r="L67" i="3"/>
  <c r="M76" i="3"/>
  <c r="M67" i="3" s="1"/>
  <c r="L120" i="3"/>
  <c r="M121" i="3"/>
  <c r="H390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0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75" i="3"/>
  <c r="J382" i="3"/>
  <c r="J375" i="3" s="1"/>
  <c r="I390" i="3"/>
  <c r="J121" i="3"/>
  <c r="H120" i="3"/>
  <c r="I229" i="3"/>
  <c r="I240" i="3"/>
  <c r="L68" i="3"/>
  <c r="M77" i="3"/>
  <c r="M68" i="3" s="1"/>
  <c r="I120" i="3"/>
  <c r="I116" i="3" s="1"/>
  <c r="L390" i="3"/>
  <c r="J76" i="3"/>
  <c r="J67" i="3" s="1"/>
  <c r="H67" i="3"/>
  <c r="L113" i="3"/>
  <c r="M114" i="3"/>
  <c r="M113" i="3" s="1"/>
  <c r="I106" i="3"/>
  <c r="I100" i="3"/>
  <c r="R213" i="3"/>
  <c r="R106" i="3"/>
  <c r="R100" i="3"/>
  <c r="O375" i="3"/>
  <c r="P382" i="3"/>
  <c r="P375" i="3" s="1"/>
  <c r="O390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0" i="3"/>
  <c r="S106" i="3"/>
  <c r="S100" i="3"/>
  <c r="S390" i="3"/>
  <c r="O68" i="3"/>
  <c r="P77" i="3"/>
  <c r="P68" i="3" s="1"/>
  <c r="O100" i="3"/>
  <c r="P107" i="3"/>
  <c r="O106" i="3"/>
  <c r="S240" i="3"/>
  <c r="S229" i="3"/>
  <c r="T390" i="3"/>
  <c r="O12" i="3"/>
  <c r="N381" i="3"/>
  <c r="H381" i="3"/>
  <c r="L12" i="3"/>
  <c r="L11" i="3"/>
  <c r="O381" i="3"/>
  <c r="I381" i="3"/>
  <c r="H12" i="3"/>
  <c r="R381" i="3"/>
  <c r="I12" i="3"/>
  <c r="T11" i="3"/>
  <c r="T12" i="3"/>
  <c r="R12" i="3"/>
  <c r="R11" i="3"/>
  <c r="O11" i="3"/>
  <c r="S11" i="3"/>
  <c r="S12" i="3"/>
  <c r="N11" i="3"/>
  <c r="N12" i="3"/>
  <c r="O98" i="3"/>
  <c r="T381" i="3"/>
  <c r="S381" i="3"/>
  <c r="U274" i="3"/>
  <c r="P371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57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65" i="3"/>
  <c r="P359" i="3"/>
  <c r="U176" i="3"/>
  <c r="J245" i="3"/>
  <c r="K245" i="3" s="1"/>
  <c r="U170" i="3"/>
  <c r="I267" i="3"/>
  <c r="U167" i="3"/>
  <c r="U179" i="3"/>
  <c r="U161" i="3"/>
  <c r="P362" i="3"/>
  <c r="N350" i="3"/>
  <c r="U341" i="3"/>
  <c r="U335" i="3"/>
  <c r="U158" i="3"/>
  <c r="U338" i="3"/>
  <c r="U271" i="3"/>
  <c r="T243" i="3"/>
  <c r="U344" i="3"/>
  <c r="U217" i="3"/>
  <c r="I20" i="3"/>
  <c r="J363" i="3"/>
  <c r="K363" i="3" s="1"/>
  <c r="J78" i="3"/>
  <c r="S369" i="3"/>
  <c r="P78" i="3"/>
  <c r="P244" i="3"/>
  <c r="P236" i="3"/>
  <c r="P253" i="3"/>
  <c r="P233" i="3"/>
  <c r="N365" i="3"/>
  <c r="M237" i="3"/>
  <c r="P237" i="3"/>
  <c r="P27" i="3"/>
  <c r="N220" i="3"/>
  <c r="U220" i="3" s="1"/>
  <c r="P221" i="3"/>
  <c r="P220" i="3" s="1"/>
  <c r="P238" i="3"/>
  <c r="N25" i="3"/>
  <c r="J367" i="3"/>
  <c r="K367" i="3" s="1"/>
  <c r="N267" i="3"/>
  <c r="M363" i="3"/>
  <c r="M168" i="3"/>
  <c r="M167" i="3" s="1"/>
  <c r="L167" i="3"/>
  <c r="H170" i="3"/>
  <c r="J171" i="3"/>
  <c r="J170" i="3" s="1"/>
  <c r="L376" i="3"/>
  <c r="M383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1" i="3"/>
  <c r="H274" i="3"/>
  <c r="J275" i="3"/>
  <c r="J274" i="3" s="1"/>
  <c r="I184" i="3"/>
  <c r="M355" i="3"/>
  <c r="L350" i="3"/>
  <c r="N34" i="3"/>
  <c r="N31" i="3"/>
  <c r="N29" i="3" s="1"/>
  <c r="G16" i="19" s="1"/>
  <c r="J332" i="3"/>
  <c r="P366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49" i="3"/>
  <c r="I353" i="3"/>
  <c r="L71" i="3"/>
  <c r="L140" i="3"/>
  <c r="M145" i="3"/>
  <c r="L144" i="3"/>
  <c r="N327" i="3"/>
  <c r="N323" i="3"/>
  <c r="I144" i="3"/>
  <c r="I140" i="3"/>
  <c r="I138" i="3" s="1"/>
  <c r="N357" i="3"/>
  <c r="M264" i="3"/>
  <c r="L263" i="3"/>
  <c r="I376" i="3"/>
  <c r="I373" i="3" s="1"/>
  <c r="L243" i="3"/>
  <c r="M244" i="3"/>
  <c r="J17" i="3"/>
  <c r="H117" i="3"/>
  <c r="J118" i="3"/>
  <c r="J117" i="3" s="1"/>
  <c r="H184" i="3"/>
  <c r="J191" i="3"/>
  <c r="H350" i="3"/>
  <c r="J355" i="3"/>
  <c r="K355" i="3" s="1"/>
  <c r="L93" i="3"/>
  <c r="L335" i="3"/>
  <c r="M336" i="3"/>
  <c r="M335" i="3" s="1"/>
  <c r="H164" i="3"/>
  <c r="J165" i="3"/>
  <c r="J164" i="3" s="1"/>
  <c r="H361" i="3"/>
  <c r="J362" i="3"/>
  <c r="I249" i="3"/>
  <c r="I247" i="3" s="1"/>
  <c r="I252" i="3"/>
  <c r="L327" i="3"/>
  <c r="L323" i="3"/>
  <c r="M328" i="3"/>
  <c r="L377" i="3"/>
  <c r="M384" i="3"/>
  <c r="M377" i="3" s="1"/>
  <c r="N184" i="3"/>
  <c r="L54" i="3"/>
  <c r="M55" i="3"/>
  <c r="M54" i="3" s="1"/>
  <c r="M342" i="3"/>
  <c r="M341" i="3" s="1"/>
  <c r="L341" i="3"/>
  <c r="M193" i="3"/>
  <c r="H271" i="3"/>
  <c r="J272" i="3"/>
  <c r="J271" i="3" s="1"/>
  <c r="M80" i="3"/>
  <c r="M71" i="3" s="1"/>
  <c r="N71" i="3"/>
  <c r="L45" i="3"/>
  <c r="H70" i="3"/>
  <c r="J201" i="3"/>
  <c r="J200" i="3" s="1"/>
  <c r="J307" i="3"/>
  <c r="J306" i="3" s="1"/>
  <c r="J358" i="3"/>
  <c r="H357" i="3"/>
  <c r="M197" i="3"/>
  <c r="N42" i="3"/>
  <c r="N39" i="3"/>
  <c r="N37" i="3" s="1"/>
  <c r="G11" i="26" s="1"/>
  <c r="I232" i="3"/>
  <c r="I226" i="3"/>
  <c r="N353" i="3"/>
  <c r="N349" i="3"/>
  <c r="I85" i="3"/>
  <c r="I83" i="3" s="1"/>
  <c r="I282" i="3"/>
  <c r="I280" i="3" s="1"/>
  <c r="I286" i="3"/>
  <c r="J354" i="3"/>
  <c r="K354" i="3" s="1"/>
  <c r="H353" i="3"/>
  <c r="H349" i="3"/>
  <c r="M300" i="3"/>
  <c r="L292" i="3"/>
  <c r="L141" i="3"/>
  <c r="M146" i="3"/>
  <c r="M141" i="3" s="1"/>
  <c r="J371" i="3"/>
  <c r="K371" i="3" s="1"/>
  <c r="M214" i="3"/>
  <c r="L209" i="3"/>
  <c r="M307" i="3"/>
  <c r="U306" i="3"/>
  <c r="L369" i="3"/>
  <c r="M370" i="3"/>
  <c r="M21" i="3"/>
  <c r="L20" i="3"/>
  <c r="H48" i="3"/>
  <c r="J49" i="3"/>
  <c r="J48" i="3" s="1"/>
  <c r="H144" i="3"/>
  <c r="H140" i="3"/>
  <c r="J145" i="3"/>
  <c r="H217" i="3"/>
  <c r="J218" i="3"/>
  <c r="J217" i="3" s="1"/>
  <c r="M371" i="3"/>
  <c r="I361" i="3"/>
  <c r="M201" i="3"/>
  <c r="H263" i="3"/>
  <c r="J264" i="3"/>
  <c r="N263" i="3"/>
  <c r="L154" i="3"/>
  <c r="L150" i="3"/>
  <c r="M155" i="3"/>
  <c r="H259" i="3"/>
  <c r="J265" i="3"/>
  <c r="J259" i="3" s="1"/>
  <c r="I323" i="3"/>
  <c r="I327" i="3"/>
  <c r="M345" i="3"/>
  <c r="M344" i="3" s="1"/>
  <c r="L344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57" i="3"/>
  <c r="M358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65" i="3"/>
  <c r="J366" i="3"/>
  <c r="L103" i="3"/>
  <c r="M104" i="3"/>
  <c r="J26" i="3"/>
  <c r="K26" i="3" s="1"/>
  <c r="I25" i="3"/>
  <c r="J302" i="3"/>
  <c r="M46" i="3"/>
  <c r="M45" i="3" s="1"/>
  <c r="N45" i="3"/>
  <c r="U45" i="3" s="1"/>
  <c r="N154" i="3"/>
  <c r="N150" i="3"/>
  <c r="N148" i="3" s="1"/>
  <c r="G14" i="26" s="1"/>
  <c r="M302" i="3"/>
  <c r="M27" i="3"/>
  <c r="M245" i="3"/>
  <c r="J27" i="3"/>
  <c r="K27" i="3" s="1"/>
  <c r="M192" i="3"/>
  <c r="L267" i="3"/>
  <c r="M268" i="3"/>
  <c r="H344" i="3"/>
  <c r="J345" i="3"/>
  <c r="N85" i="3"/>
  <c r="H15" i="3"/>
  <c r="J16" i="3"/>
  <c r="H72" i="3"/>
  <c r="J193" i="3"/>
  <c r="H42" i="3"/>
  <c r="J43" i="3"/>
  <c r="H39" i="3"/>
  <c r="H37" i="3" s="1"/>
  <c r="L338" i="3"/>
  <c r="M339" i="3"/>
  <c r="M338" i="3" s="1"/>
  <c r="L176" i="3"/>
  <c r="M177" i="3"/>
  <c r="M176" i="3" s="1"/>
  <c r="I350" i="3"/>
  <c r="H252" i="3"/>
  <c r="H249" i="3"/>
  <c r="H247" i="3" s="1"/>
  <c r="J253" i="3"/>
  <c r="K253" i="3" s="1"/>
  <c r="J336" i="3"/>
  <c r="J335" i="3" s="1"/>
  <c r="I335" i="3"/>
  <c r="M26" i="3"/>
  <c r="L25" i="3"/>
  <c r="M90" i="3"/>
  <c r="L85" i="3"/>
  <c r="M238" i="3"/>
  <c r="J315" i="3"/>
  <c r="J90" i="3"/>
  <c r="H85" i="3"/>
  <c r="L69" i="3"/>
  <c r="M78" i="3"/>
  <c r="H267" i="3"/>
  <c r="J268" i="3"/>
  <c r="I15" i="3"/>
  <c r="L282" i="3"/>
  <c r="M287" i="3"/>
  <c r="L286" i="3"/>
  <c r="M366" i="3"/>
  <c r="L365" i="3"/>
  <c r="H51" i="3"/>
  <c r="J52" i="3"/>
  <c r="H154" i="3"/>
  <c r="J155" i="3"/>
  <c r="H150" i="3"/>
  <c r="H378" i="3"/>
  <c r="J385" i="3"/>
  <c r="J378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59" i="3"/>
  <c r="K359" i="3" s="1"/>
  <c r="L271" i="3"/>
  <c r="M272" i="3"/>
  <c r="M271" i="3" s="1"/>
  <c r="H20" i="3"/>
  <c r="J21" i="3"/>
  <c r="I131" i="3"/>
  <c r="H173" i="3"/>
  <c r="J174" i="3"/>
  <c r="J173" i="3" s="1"/>
  <c r="N282" i="3"/>
  <c r="N280" i="3" s="1"/>
  <c r="G20" i="26" s="1"/>
  <c r="N286" i="3"/>
  <c r="L349" i="3"/>
  <c r="M354" i="3"/>
  <c r="L353" i="3"/>
  <c r="L117" i="3"/>
  <c r="M118" i="3"/>
  <c r="M117" i="3" s="1"/>
  <c r="M233" i="3"/>
  <c r="L232" i="3"/>
  <c r="L226" i="3"/>
  <c r="J328" i="3"/>
  <c r="K328" i="3" s="1"/>
  <c r="H323" i="3"/>
  <c r="H327" i="3"/>
  <c r="N376" i="3"/>
  <c r="H176" i="3"/>
  <c r="J177" i="3"/>
  <c r="J176" i="3" s="1"/>
  <c r="H110" i="3"/>
  <c r="J111" i="3"/>
  <c r="J110" i="3" s="1"/>
  <c r="N20" i="3"/>
  <c r="N225" i="3"/>
  <c r="J301" i="3"/>
  <c r="J293" i="3" s="1"/>
  <c r="L70" i="3"/>
  <c r="M79" i="3"/>
  <c r="M70" i="3" s="1"/>
  <c r="L378" i="3"/>
  <c r="M385" i="3"/>
  <c r="M378" i="3" s="1"/>
  <c r="M191" i="3"/>
  <c r="L184" i="3"/>
  <c r="H158" i="3"/>
  <c r="J159" i="3"/>
  <c r="J158" i="3" s="1"/>
  <c r="N252" i="3"/>
  <c r="N249" i="3"/>
  <c r="N247" i="3" s="1"/>
  <c r="G18" i="26" s="1"/>
  <c r="J339" i="3"/>
  <c r="H338" i="3"/>
  <c r="M359" i="3"/>
  <c r="H232" i="3"/>
  <c r="H226" i="3"/>
  <c r="J233" i="3"/>
  <c r="K233" i="3" s="1"/>
  <c r="I103" i="3"/>
  <c r="N369" i="3"/>
  <c r="H71" i="3"/>
  <c r="I154" i="3"/>
  <c r="I150" i="3"/>
  <c r="I148" i="3" s="1"/>
  <c r="J236" i="3"/>
  <c r="H225" i="3"/>
  <c r="M329" i="3"/>
  <c r="J383" i="3"/>
  <c r="H376" i="3"/>
  <c r="J156" i="3"/>
  <c r="J151" i="3" s="1"/>
  <c r="H151" i="3"/>
  <c r="L283" i="3"/>
  <c r="M288" i="3"/>
  <c r="M283" i="3" s="1"/>
  <c r="I209" i="3"/>
  <c r="I207" i="3" s="1"/>
  <c r="M315" i="3"/>
  <c r="H25" i="3"/>
  <c r="M362" i="3"/>
  <c r="L361" i="3"/>
  <c r="H341" i="3"/>
  <c r="J342" i="3"/>
  <c r="J341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M22" i="3"/>
  <c r="I369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1" i="3"/>
  <c r="J310" i="3" s="1"/>
  <c r="L39" i="3"/>
  <c r="L37" i="3" s="1"/>
  <c r="E11" i="26" s="1"/>
  <c r="M43" i="3"/>
  <c r="L42" i="3"/>
  <c r="L151" i="3"/>
  <c r="M156" i="3"/>
  <c r="M151" i="3" s="1"/>
  <c r="N232" i="3"/>
  <c r="N226" i="3"/>
  <c r="J329" i="3"/>
  <c r="H377" i="3"/>
  <c r="J384" i="3"/>
  <c r="J377" i="3" s="1"/>
  <c r="L170" i="3"/>
  <c r="M171" i="3"/>
  <c r="M170" i="3" s="1"/>
  <c r="M132" i="3"/>
  <c r="M236" i="3"/>
  <c r="L225" i="3"/>
  <c r="N15" i="3"/>
  <c r="H93" i="3"/>
  <c r="J94" i="3"/>
  <c r="J93" i="3" s="1"/>
  <c r="M332" i="3"/>
  <c r="J300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1" i="3"/>
  <c r="I42" i="3"/>
  <c r="I39" i="3"/>
  <c r="I37" i="3" s="1"/>
  <c r="H179" i="3"/>
  <c r="J180" i="3"/>
  <c r="J179" i="3" s="1"/>
  <c r="N292" i="3"/>
  <c r="J370" i="3"/>
  <c r="H369" i="3"/>
  <c r="L220" i="3"/>
  <c r="M221" i="3"/>
  <c r="M220" i="3" s="1"/>
  <c r="S25" i="3"/>
  <c r="R25" i="3"/>
  <c r="R20" i="3"/>
  <c r="R361" i="3"/>
  <c r="R369" i="3"/>
  <c r="T357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0" i="3"/>
  <c r="O369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29" i="3"/>
  <c r="S282" i="3"/>
  <c r="S280" i="3" s="1"/>
  <c r="M20" i="26" s="1"/>
  <c r="S286" i="3"/>
  <c r="T62" i="3"/>
  <c r="T59" i="3"/>
  <c r="T57" i="3" s="1"/>
  <c r="O18" i="19" s="1"/>
  <c r="O341" i="3"/>
  <c r="P342" i="3"/>
  <c r="P341" i="3" s="1"/>
  <c r="P302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0" i="3"/>
  <c r="O154" i="3"/>
  <c r="O150" i="3"/>
  <c r="P155" i="3"/>
  <c r="O243" i="3"/>
  <c r="O51" i="3"/>
  <c r="P52" i="3"/>
  <c r="P51" i="3" s="1"/>
  <c r="P245" i="3"/>
  <c r="O365" i="3"/>
  <c r="P367" i="3"/>
  <c r="O45" i="3"/>
  <c r="P46" i="3"/>
  <c r="P45" i="3" s="1"/>
  <c r="O151" i="3"/>
  <c r="P156" i="3"/>
  <c r="P151" i="3" s="1"/>
  <c r="O260" i="3"/>
  <c r="P269" i="3"/>
  <c r="P260" i="3" s="1"/>
  <c r="O361" i="3"/>
  <c r="P363" i="3"/>
  <c r="O338" i="3"/>
  <c r="P339" i="3"/>
  <c r="P338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5" i="3"/>
  <c r="T25" i="3"/>
  <c r="O271" i="3"/>
  <c r="P272" i="3"/>
  <c r="P271" i="3" s="1"/>
  <c r="R323" i="3"/>
  <c r="R327" i="3"/>
  <c r="O164" i="3"/>
  <c r="P165" i="3"/>
  <c r="P164" i="3" s="1"/>
  <c r="R267" i="3"/>
  <c r="P354" i="3"/>
  <c r="O353" i="3"/>
  <c r="O349" i="3"/>
  <c r="R376" i="3"/>
  <c r="R373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O267" i="3"/>
  <c r="P268" i="3"/>
  <c r="R353" i="3"/>
  <c r="R349" i="3"/>
  <c r="S267" i="3"/>
  <c r="T267" i="3"/>
  <c r="R357" i="3"/>
  <c r="P358" i="3"/>
  <c r="O357" i="3"/>
  <c r="O292" i="3"/>
  <c r="P300" i="3"/>
  <c r="T327" i="3"/>
  <c r="T323" i="3"/>
  <c r="S376" i="3"/>
  <c r="S373" i="3" s="1"/>
  <c r="M24" i="26" s="1"/>
  <c r="S323" i="3"/>
  <c r="S327" i="3"/>
  <c r="S184" i="3"/>
  <c r="T292" i="3"/>
  <c r="T349" i="3"/>
  <c r="T353" i="3"/>
  <c r="O167" i="3"/>
  <c r="P168" i="3"/>
  <c r="P167" i="3" s="1"/>
  <c r="O252" i="3"/>
  <c r="O249" i="3"/>
  <c r="O247" i="3" s="1"/>
  <c r="H18" i="26" s="1"/>
  <c r="R85" i="3"/>
  <c r="R83" i="3" s="1"/>
  <c r="K12" i="19" s="1"/>
  <c r="T361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57" i="3"/>
  <c r="R62" i="3"/>
  <c r="R59" i="3"/>
  <c r="R57" i="3" s="1"/>
  <c r="K18" i="19" s="1"/>
  <c r="P197" i="3"/>
  <c r="S365" i="3"/>
  <c r="O70" i="3"/>
  <c r="P79" i="3"/>
  <c r="P70" i="3" s="1"/>
  <c r="R209" i="3"/>
  <c r="R207" i="3" s="1"/>
  <c r="K16" i="26" s="1"/>
  <c r="O376" i="3"/>
  <c r="P383" i="3"/>
  <c r="O170" i="3"/>
  <c r="P171" i="3"/>
  <c r="P170" i="3" s="1"/>
  <c r="R15" i="3"/>
  <c r="S225" i="3"/>
  <c r="P332" i="3"/>
  <c r="O350" i="3"/>
  <c r="P355" i="3"/>
  <c r="S263" i="3"/>
  <c r="O274" i="3"/>
  <c r="P275" i="3"/>
  <c r="P274" i="3" s="1"/>
  <c r="O59" i="3"/>
  <c r="O57" i="3" s="1"/>
  <c r="H18" i="19" s="1"/>
  <c r="O62" i="3"/>
  <c r="P63" i="3"/>
  <c r="T69" i="3"/>
  <c r="S349" i="3"/>
  <c r="S353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69" i="3"/>
  <c r="O72" i="3"/>
  <c r="P81" i="3"/>
  <c r="P72" i="3" s="1"/>
  <c r="O217" i="3"/>
  <c r="P218" i="3"/>
  <c r="P217" i="3" s="1"/>
  <c r="P311" i="3"/>
  <c r="S361" i="3"/>
  <c r="O283" i="3"/>
  <c r="P288" i="3"/>
  <c r="P283" i="3" s="1"/>
  <c r="T15" i="3"/>
  <c r="P301" i="3"/>
  <c r="S42" i="3"/>
  <c r="S39" i="3"/>
  <c r="S37" i="3" s="1"/>
  <c r="M11" i="26" s="1"/>
  <c r="O226" i="3"/>
  <c r="O232" i="3"/>
  <c r="P104" i="3"/>
  <c r="O176" i="3"/>
  <c r="P177" i="3"/>
  <c r="P176" i="3" s="1"/>
  <c r="T350" i="3"/>
  <c r="S15" i="3"/>
  <c r="S69" i="3"/>
  <c r="O48" i="3"/>
  <c r="P49" i="3"/>
  <c r="P48" i="3" s="1"/>
  <c r="R144" i="3"/>
  <c r="R140" i="3"/>
  <c r="R138" i="3" s="1"/>
  <c r="K13" i="26" s="1"/>
  <c r="O335" i="3"/>
  <c r="P336" i="3"/>
  <c r="P335" i="3" s="1"/>
  <c r="R39" i="3"/>
  <c r="R37" i="3" s="1"/>
  <c r="K11" i="26" s="1"/>
  <c r="R42" i="3"/>
  <c r="R150" i="3"/>
  <c r="R148" i="3" s="1"/>
  <c r="K14" i="26" s="1"/>
  <c r="R154" i="3"/>
  <c r="R263" i="3"/>
  <c r="R365" i="3"/>
  <c r="R31" i="3"/>
  <c r="R29" i="3" s="1"/>
  <c r="K16" i="19" s="1"/>
  <c r="R34" i="3"/>
  <c r="R286" i="3"/>
  <c r="R282" i="3"/>
  <c r="R280" i="3" s="1"/>
  <c r="K20" i="26" s="1"/>
  <c r="P264" i="3"/>
  <c r="O263" i="3"/>
  <c r="O344" i="3"/>
  <c r="P345" i="3"/>
  <c r="P344" i="3" s="1"/>
  <c r="T376" i="3"/>
  <c r="T373" i="3" s="1"/>
  <c r="O24" i="26" s="1"/>
  <c r="O15" i="3"/>
  <c r="P16" i="3"/>
  <c r="O286" i="3"/>
  <c r="P287" i="3"/>
  <c r="O282" i="3"/>
  <c r="S350" i="3"/>
  <c r="O173" i="3"/>
  <c r="P174" i="3"/>
  <c r="P173" i="3" s="1"/>
  <c r="S292" i="3"/>
  <c r="S290" i="3" s="1"/>
  <c r="M21" i="26" s="1"/>
  <c r="T184" i="3"/>
  <c r="O323" i="3"/>
  <c r="O327" i="3"/>
  <c r="P328" i="3"/>
  <c r="O259" i="3"/>
  <c r="P265" i="3"/>
  <c r="P259" i="3" s="1"/>
  <c r="P214" i="3"/>
  <c r="O209" i="3"/>
  <c r="P384" i="3"/>
  <c r="P377" i="3" s="1"/>
  <c r="O377" i="3"/>
  <c r="T154" i="3"/>
  <c r="T150" i="3"/>
  <c r="T148" i="3" s="1"/>
  <c r="O14" i="26" s="1"/>
  <c r="T209" i="3"/>
  <c r="T207" i="3" s="1"/>
  <c r="O16" i="26" s="1"/>
  <c r="P307" i="3"/>
  <c r="O378" i="3"/>
  <c r="P385" i="3"/>
  <c r="P378" i="3" s="1"/>
  <c r="O42" i="3"/>
  <c r="P43" i="3"/>
  <c r="O39" i="3"/>
  <c r="O37" i="3" s="1"/>
  <c r="H11" i="26" s="1"/>
  <c r="T391" i="3"/>
  <c r="I391" i="3"/>
  <c r="L391" i="3"/>
  <c r="S391" i="3"/>
  <c r="H391" i="3"/>
  <c r="H395" i="3"/>
  <c r="N391" i="3"/>
  <c r="O391" i="3"/>
  <c r="R391" i="3"/>
  <c r="T20" i="28"/>
  <c r="R16" i="28"/>
  <c r="V16" i="28"/>
  <c r="T16" i="28"/>
  <c r="V20" i="28"/>
  <c r="V11" i="27"/>
  <c r="P11" i="27"/>
  <c r="T11" i="27"/>
  <c r="S405" i="3"/>
  <c r="T16" i="27"/>
  <c r="R16" i="27"/>
  <c r="V12" i="28"/>
  <c r="R13" i="28"/>
  <c r="R12" i="28"/>
  <c r="V13" i="28"/>
  <c r="S408" i="3"/>
  <c r="T402" i="3"/>
  <c r="R15" i="27"/>
  <c r="V14" i="27"/>
  <c r="T405" i="3"/>
  <c r="O405" i="3"/>
  <c r="R405" i="3"/>
  <c r="R13" i="27"/>
  <c r="L405" i="3"/>
  <c r="R408" i="3"/>
  <c r="I405" i="3"/>
  <c r="L408" i="3"/>
  <c r="T408" i="3"/>
  <c r="I408" i="3"/>
  <c r="N408" i="3"/>
  <c r="O408" i="3"/>
  <c r="L402" i="3"/>
  <c r="O402" i="3"/>
  <c r="N405" i="3"/>
  <c r="P397" i="3"/>
  <c r="P392" i="3" s="1"/>
  <c r="J397" i="3"/>
  <c r="J392" i="3" s="1"/>
  <c r="M397" i="3"/>
  <c r="M392" i="3" s="1"/>
  <c r="R402" i="3"/>
  <c r="S402" i="3"/>
  <c r="N402" i="3"/>
  <c r="I402" i="3"/>
  <c r="R14" i="27"/>
  <c r="R20" i="28"/>
  <c r="V13" i="27"/>
  <c r="T13" i="28"/>
  <c r="T12" i="28"/>
  <c r="T395" i="3"/>
  <c r="S395" i="3"/>
  <c r="V16" i="27"/>
  <c r="O395" i="3"/>
  <c r="R11" i="27"/>
  <c r="R395" i="3"/>
  <c r="P13" i="27"/>
  <c r="V15" i="27"/>
  <c r="T13" i="27"/>
  <c r="T14" i="27"/>
  <c r="T15" i="27"/>
  <c r="I395" i="3"/>
  <c r="N395" i="3"/>
  <c r="L395" i="3"/>
  <c r="M409" i="3"/>
  <c r="P406" i="3"/>
  <c r="O17" i="28"/>
  <c r="P396" i="3"/>
  <c r="J406" i="3"/>
  <c r="P403" i="3"/>
  <c r="P409" i="3"/>
  <c r="J409" i="3"/>
  <c r="J403" i="3"/>
  <c r="J396" i="3"/>
  <c r="M406" i="3"/>
  <c r="M403" i="3"/>
  <c r="M396" i="3"/>
  <c r="U310" i="3" l="1"/>
  <c r="P200" i="3"/>
  <c r="J314" i="3"/>
  <c r="U196" i="3"/>
  <c r="P314" i="3"/>
  <c r="K205" i="3"/>
  <c r="K204" i="3" s="1"/>
  <c r="J20" i="3"/>
  <c r="J186" i="3"/>
  <c r="I182" i="3"/>
  <c r="P196" i="3"/>
  <c r="P185" i="3"/>
  <c r="T182" i="3"/>
  <c r="O15" i="26" s="1"/>
  <c r="T290" i="3"/>
  <c r="O21" i="26" s="1"/>
  <c r="P306" i="3"/>
  <c r="U314" i="3"/>
  <c r="S182" i="3"/>
  <c r="M15" i="26" s="1"/>
  <c r="P310" i="3"/>
  <c r="J196" i="3"/>
  <c r="J185" i="3"/>
  <c r="J294" i="3"/>
  <c r="P293" i="3"/>
  <c r="M200" i="3"/>
  <c r="U200" i="3"/>
  <c r="R182" i="3"/>
  <c r="K15" i="26" s="1"/>
  <c r="R290" i="3"/>
  <c r="K21" i="26" s="1"/>
  <c r="M310" i="3"/>
  <c r="N290" i="3"/>
  <c r="G21" i="26" s="1"/>
  <c r="M294" i="3"/>
  <c r="M185" i="3"/>
  <c r="M196" i="3"/>
  <c r="P186" i="3"/>
  <c r="M293" i="3"/>
  <c r="M186" i="3"/>
  <c r="M306" i="3"/>
  <c r="M314" i="3"/>
  <c r="K278" i="3"/>
  <c r="K277" i="3" s="1"/>
  <c r="K319" i="3"/>
  <c r="K318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299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90" i="3"/>
  <c r="K304" i="3"/>
  <c r="K296" i="3" s="1"/>
  <c r="J296" i="3"/>
  <c r="K91" i="3"/>
  <c r="K86" i="3" s="1"/>
  <c r="L290" i="3"/>
  <c r="E21" i="26" s="1"/>
  <c r="O290" i="3"/>
  <c r="H21" i="26" s="1"/>
  <c r="P299" i="3"/>
  <c r="M299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1" i="3"/>
  <c r="O22" i="26" s="1"/>
  <c r="T130" i="3"/>
  <c r="S321" i="3"/>
  <c r="M22" i="26" s="1"/>
  <c r="K303" i="3"/>
  <c r="K295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1" i="3"/>
  <c r="R321" i="3"/>
  <c r="K22" i="26" s="1"/>
  <c r="I321" i="3"/>
  <c r="N321" i="3"/>
  <c r="G22" i="26" s="1"/>
  <c r="J331" i="3"/>
  <c r="M331" i="3"/>
  <c r="P235" i="3"/>
  <c r="M235" i="3"/>
  <c r="H234" i="3"/>
  <c r="J324" i="3"/>
  <c r="M324" i="3"/>
  <c r="H9" i="3"/>
  <c r="P331" i="3"/>
  <c r="P324" i="3"/>
  <c r="U398" i="3"/>
  <c r="M398" i="3"/>
  <c r="K399" i="3"/>
  <c r="K389" i="3" s="1"/>
  <c r="J398" i="3"/>
  <c r="L387" i="3"/>
  <c r="E25" i="26" s="1"/>
  <c r="I387" i="3"/>
  <c r="H387" i="3"/>
  <c r="P398" i="3"/>
  <c r="O387" i="3"/>
  <c r="H25" i="26" s="1"/>
  <c r="R387" i="3"/>
  <c r="K25" i="26" s="1"/>
  <c r="T387" i="3"/>
  <c r="O25" i="26" s="1"/>
  <c r="S387" i="3"/>
  <c r="M25" i="26" s="1"/>
  <c r="N387" i="3"/>
  <c r="G25" i="26" s="1"/>
  <c r="H207" i="3"/>
  <c r="U240" i="3"/>
  <c r="R102" i="3"/>
  <c r="R116" i="3"/>
  <c r="I102" i="3"/>
  <c r="J120" i="3"/>
  <c r="J116" i="3" s="1"/>
  <c r="I9" i="3"/>
  <c r="U361" i="3"/>
  <c r="J71" i="3"/>
  <c r="H109" i="3"/>
  <c r="I234" i="3"/>
  <c r="M365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0" i="3"/>
  <c r="M134" i="3"/>
  <c r="M390" i="3"/>
  <c r="M120" i="3"/>
  <c r="M116" i="3" s="1"/>
  <c r="K382" i="3"/>
  <c r="K375" i="3" s="1"/>
  <c r="J229" i="3"/>
  <c r="J240" i="3"/>
  <c r="S9" i="3"/>
  <c r="M17" i="19" s="1"/>
  <c r="K121" i="3"/>
  <c r="K120" i="3" s="1"/>
  <c r="K136" i="3"/>
  <c r="K128" i="3" s="1"/>
  <c r="P390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3" i="3"/>
  <c r="E24" i="26" s="1"/>
  <c r="H373" i="3"/>
  <c r="K16" i="3"/>
  <c r="J11" i="3"/>
  <c r="J381" i="3"/>
  <c r="T9" i="3"/>
  <c r="O17" i="19" s="1"/>
  <c r="H65" i="3"/>
  <c r="P11" i="3"/>
  <c r="M12" i="3"/>
  <c r="M11" i="3"/>
  <c r="P369" i="3"/>
  <c r="O9" i="3"/>
  <c r="H17" i="19" s="1"/>
  <c r="O373" i="3"/>
  <c r="H24" i="26" s="1"/>
  <c r="P381" i="3"/>
  <c r="N373" i="3"/>
  <c r="G24" i="26" s="1"/>
  <c r="N24" i="26" s="1"/>
  <c r="M381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2" i="3"/>
  <c r="K331" i="3" s="1"/>
  <c r="M126" i="3"/>
  <c r="M124" i="3" s="1"/>
  <c r="P126" i="3"/>
  <c r="P124" i="3" s="1"/>
  <c r="K135" i="3"/>
  <c r="K104" i="3"/>
  <c r="K132" i="3"/>
  <c r="J126" i="3"/>
  <c r="J124" i="3" s="1"/>
  <c r="P357" i="3"/>
  <c r="K275" i="3"/>
  <c r="K274" i="3" s="1"/>
  <c r="J11" i="26"/>
  <c r="K385" i="3"/>
  <c r="K378" i="3" s="1"/>
  <c r="N347" i="3"/>
  <c r="G23" i="26" s="1"/>
  <c r="P361" i="3"/>
  <c r="U267" i="3"/>
  <c r="U327" i="3"/>
  <c r="J18" i="26"/>
  <c r="U247" i="3"/>
  <c r="U252" i="3"/>
  <c r="U365" i="3"/>
  <c r="U154" i="3"/>
  <c r="U138" i="3"/>
  <c r="U148" i="3"/>
  <c r="U357" i="3"/>
  <c r="U395" i="3"/>
  <c r="U190" i="3"/>
  <c r="U29" i="3"/>
  <c r="U37" i="3"/>
  <c r="J16" i="19"/>
  <c r="U57" i="3"/>
  <c r="K111" i="3"/>
  <c r="K110" i="3" s="1"/>
  <c r="U405" i="3"/>
  <c r="J18" i="19"/>
  <c r="K221" i="3"/>
  <c r="K220" i="3" s="1"/>
  <c r="J267" i="3"/>
  <c r="K25" i="3"/>
  <c r="U213" i="3"/>
  <c r="U299" i="3"/>
  <c r="U263" i="3"/>
  <c r="U402" i="3"/>
  <c r="U232" i="3"/>
  <c r="U369" i="3"/>
  <c r="U256" i="3"/>
  <c r="U89" i="3"/>
  <c r="U353" i="3"/>
  <c r="K171" i="3"/>
  <c r="K170" i="3" s="1"/>
  <c r="U280" i="3"/>
  <c r="U243" i="3"/>
  <c r="K238" i="3"/>
  <c r="K227" i="3" s="1"/>
  <c r="U381" i="3"/>
  <c r="K49" i="3"/>
  <c r="K48" i="3" s="1"/>
  <c r="U286" i="3"/>
  <c r="U408" i="3"/>
  <c r="P25" i="3"/>
  <c r="P350" i="3"/>
  <c r="K72" i="3"/>
  <c r="P365" i="3"/>
  <c r="L347" i="3"/>
  <c r="E23" i="26" s="1"/>
  <c r="M267" i="3"/>
  <c r="P20" i="3"/>
  <c r="K197" i="3"/>
  <c r="K196" i="3" s="1"/>
  <c r="K118" i="3"/>
  <c r="K117" i="3" s="1"/>
  <c r="M25" i="3"/>
  <c r="M361" i="3"/>
  <c r="K307" i="3"/>
  <c r="K306" i="3" s="1"/>
  <c r="K301" i="3"/>
  <c r="K293" i="3" s="1"/>
  <c r="L223" i="3"/>
  <c r="E17" i="26" s="1"/>
  <c r="I223" i="3"/>
  <c r="L138" i="3"/>
  <c r="E13" i="26" s="1"/>
  <c r="K71" i="3"/>
  <c r="K329" i="3"/>
  <c r="K324" i="3" s="1"/>
  <c r="K21" i="3"/>
  <c r="K20" i="3" s="1"/>
  <c r="K177" i="3"/>
  <c r="K176" i="3" s="1"/>
  <c r="H280" i="3"/>
  <c r="K55" i="3"/>
  <c r="K54" i="3" s="1"/>
  <c r="K350" i="3"/>
  <c r="J25" i="3"/>
  <c r="K311" i="3"/>
  <c r="K310" i="3" s="1"/>
  <c r="K232" i="3"/>
  <c r="K370" i="3"/>
  <c r="K369" i="3" s="1"/>
  <c r="J369" i="3"/>
  <c r="K156" i="3"/>
  <c r="K151" i="3" s="1"/>
  <c r="H321" i="3"/>
  <c r="M103" i="3"/>
  <c r="J103" i="3"/>
  <c r="M357" i="3"/>
  <c r="M154" i="3"/>
  <c r="M150" i="3"/>
  <c r="M148" i="3" s="1"/>
  <c r="F14" i="26" s="1"/>
  <c r="H256" i="3"/>
  <c r="M292" i="3"/>
  <c r="K193" i="3"/>
  <c r="K186" i="3" s="1"/>
  <c r="L321" i="3"/>
  <c r="E22" i="26" s="1"/>
  <c r="K265" i="3"/>
  <c r="K259" i="3" s="1"/>
  <c r="J292" i="3"/>
  <c r="N223" i="3"/>
  <c r="G17" i="26" s="1"/>
  <c r="M31" i="3"/>
  <c r="M29" i="3" s="1"/>
  <c r="F16" i="19" s="1"/>
  <c r="M34" i="3"/>
  <c r="M376" i="3"/>
  <c r="J69" i="3"/>
  <c r="J263" i="3"/>
  <c r="M323" i="3"/>
  <c r="M327" i="3"/>
  <c r="J184" i="3"/>
  <c r="K162" i="3"/>
  <c r="K161" i="3" s="1"/>
  <c r="J376" i="3"/>
  <c r="J323" i="3"/>
  <c r="J327" i="3"/>
  <c r="K165" i="3"/>
  <c r="K164" i="3" s="1"/>
  <c r="K282" i="3"/>
  <c r="M69" i="3"/>
  <c r="K345" i="3"/>
  <c r="K344" i="3" s="1"/>
  <c r="J344" i="3"/>
  <c r="K180" i="3"/>
  <c r="K179" i="3" s="1"/>
  <c r="L148" i="3"/>
  <c r="E14" i="26" s="1"/>
  <c r="J144" i="3"/>
  <c r="J140" i="3"/>
  <c r="J138" i="3" s="1"/>
  <c r="C13" i="26" s="1"/>
  <c r="M20" i="3"/>
  <c r="M209" i="3"/>
  <c r="K336" i="3"/>
  <c r="K335" i="3" s="1"/>
  <c r="K264" i="3"/>
  <c r="I347" i="3"/>
  <c r="K244" i="3"/>
  <c r="K243" i="3" s="1"/>
  <c r="J243" i="3"/>
  <c r="M350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69" i="3"/>
  <c r="H347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3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66" i="3"/>
  <c r="K365" i="3" s="1"/>
  <c r="J365" i="3"/>
  <c r="K146" i="3"/>
  <c r="K141" i="3" s="1"/>
  <c r="K358" i="3"/>
  <c r="K357" i="3" s="1"/>
  <c r="J357" i="3"/>
  <c r="K342" i="3"/>
  <c r="K341" i="3" s="1"/>
  <c r="K384" i="3"/>
  <c r="K377" i="3" s="1"/>
  <c r="K94" i="3"/>
  <c r="M263" i="3"/>
  <c r="K269" i="3"/>
  <c r="K260" i="3" s="1"/>
  <c r="K168" i="3"/>
  <c r="K167" i="3" s="1"/>
  <c r="L280" i="3"/>
  <c r="E20" i="26" s="1"/>
  <c r="K90" i="3"/>
  <c r="J85" i="3"/>
  <c r="K302" i="3"/>
  <c r="K294" i="3" s="1"/>
  <c r="K174" i="3"/>
  <c r="K173" i="3" s="1"/>
  <c r="J353" i="3"/>
  <c r="J349" i="3"/>
  <c r="K362" i="3"/>
  <c r="K361" i="3" s="1"/>
  <c r="J361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0" i="3"/>
  <c r="K236" i="3"/>
  <c r="J232" i="3"/>
  <c r="J226" i="3"/>
  <c r="M42" i="3"/>
  <c r="M39" i="3"/>
  <c r="M37" i="3" s="1"/>
  <c r="F11" i="26" s="1"/>
  <c r="K315" i="3"/>
  <c r="K314" i="3" s="1"/>
  <c r="K339" i="3"/>
  <c r="K338" i="3" s="1"/>
  <c r="J338" i="3"/>
  <c r="M184" i="3"/>
  <c r="M232" i="3"/>
  <c r="M226" i="3"/>
  <c r="M349" i="3"/>
  <c r="M353" i="3"/>
  <c r="K52" i="3"/>
  <c r="K51" i="3" s="1"/>
  <c r="J51" i="3"/>
  <c r="M85" i="3"/>
  <c r="J252" i="3"/>
  <c r="J249" i="3"/>
  <c r="J247" i="3" s="1"/>
  <c r="C18" i="26" s="1"/>
  <c r="J15" i="3"/>
  <c r="J350" i="3"/>
  <c r="M243" i="3"/>
  <c r="K35" i="3"/>
  <c r="M15" i="3"/>
  <c r="K383" i="3"/>
  <c r="R347" i="3"/>
  <c r="K23" i="26" s="1"/>
  <c r="P267" i="3"/>
  <c r="P243" i="3"/>
  <c r="O321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47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47" i="3"/>
  <c r="H23" i="26" s="1"/>
  <c r="P140" i="3"/>
  <c r="P138" i="3" s="1"/>
  <c r="P144" i="3"/>
  <c r="P323" i="3"/>
  <c r="P327" i="3"/>
  <c r="P376" i="3"/>
  <c r="P373" i="3" s="1"/>
  <c r="P209" i="3"/>
  <c r="P207" i="3" s="1"/>
  <c r="P184" i="3"/>
  <c r="P353" i="3"/>
  <c r="P349" i="3"/>
  <c r="P31" i="3"/>
  <c r="P29" i="3" s="1"/>
  <c r="P34" i="3"/>
  <c r="P232" i="3"/>
  <c r="P226" i="3"/>
  <c r="P292" i="3"/>
  <c r="O280" i="3"/>
  <c r="H20" i="26" s="1"/>
  <c r="J20" i="26" s="1"/>
  <c r="S347" i="3"/>
  <c r="M23" i="26" s="1"/>
  <c r="P252" i="3"/>
  <c r="P249" i="3"/>
  <c r="P247" i="3" s="1"/>
  <c r="P225" i="3"/>
  <c r="P286" i="3"/>
  <c r="P282" i="3"/>
  <c r="P280" i="3" s="1"/>
  <c r="J391" i="3"/>
  <c r="P391" i="3"/>
  <c r="M391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05" i="3"/>
  <c r="R19" i="28"/>
  <c r="T19" i="28"/>
  <c r="J408" i="3"/>
  <c r="P408" i="3"/>
  <c r="M408" i="3"/>
  <c r="M405" i="3"/>
  <c r="K14" i="27"/>
  <c r="J405" i="3"/>
  <c r="J402" i="3"/>
  <c r="K397" i="3"/>
  <c r="K392" i="3" s="1"/>
  <c r="M402" i="3"/>
  <c r="P402" i="3"/>
  <c r="V17" i="27"/>
  <c r="T17" i="27"/>
  <c r="R22" i="28"/>
  <c r="V12" i="27"/>
  <c r="V22" i="28"/>
  <c r="R17" i="27"/>
  <c r="P12" i="28"/>
  <c r="T21" i="28"/>
  <c r="P16" i="28"/>
  <c r="P22" i="28"/>
  <c r="T12" i="27"/>
  <c r="J395" i="3"/>
  <c r="R21" i="28"/>
  <c r="T22" i="28"/>
  <c r="V21" i="28"/>
  <c r="P12" i="27"/>
  <c r="P13" i="28"/>
  <c r="M395" i="3"/>
  <c r="P395" i="3"/>
  <c r="K406" i="3"/>
  <c r="K405" i="3" s="1"/>
  <c r="K403" i="3"/>
  <c r="K402" i="3" s="1"/>
  <c r="L18" i="27"/>
  <c r="K15" i="27"/>
  <c r="O13" i="28"/>
  <c r="L14" i="27"/>
  <c r="O16" i="28"/>
  <c r="N14" i="27"/>
  <c r="M20" i="28"/>
  <c r="K18" i="27"/>
  <c r="K409" i="3"/>
  <c r="K408" i="3" s="1"/>
  <c r="M12" i="28"/>
  <c r="M18" i="27"/>
  <c r="M16" i="28"/>
  <c r="K13" i="27"/>
  <c r="N18" i="27"/>
  <c r="N13" i="27"/>
  <c r="M13" i="28"/>
  <c r="O12" i="28"/>
  <c r="O18" i="27"/>
  <c r="N12" i="28"/>
  <c r="K396" i="3"/>
  <c r="N15" i="27"/>
  <c r="L21" i="26" l="1"/>
  <c r="M290" i="3"/>
  <c r="F21" i="26" s="1"/>
  <c r="P182" i="3"/>
  <c r="P290" i="3"/>
  <c r="K258" i="3"/>
  <c r="K256" i="3" s="1"/>
  <c r="D19" i="26" s="1"/>
  <c r="K299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90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1" i="3"/>
  <c r="G72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1" i="3"/>
  <c r="F22" i="26" s="1"/>
  <c r="U321" i="3"/>
  <c r="K235" i="3"/>
  <c r="P321" i="3"/>
  <c r="J321" i="3"/>
  <c r="C22" i="26" s="1"/>
  <c r="K398" i="3"/>
  <c r="J387" i="3"/>
  <c r="M387" i="3"/>
  <c r="F25" i="26" s="1"/>
  <c r="P387" i="3"/>
  <c r="K390" i="3"/>
  <c r="U102" i="3"/>
  <c r="U96" i="3"/>
  <c r="P102" i="3"/>
  <c r="K134" i="3"/>
  <c r="I411" i="3"/>
  <c r="K75" i="3"/>
  <c r="M9" i="3"/>
  <c r="F17" i="19" s="1"/>
  <c r="K213" i="3"/>
  <c r="K100" i="3"/>
  <c r="K381" i="3"/>
  <c r="J207" i="3"/>
  <c r="C16" i="26" s="1"/>
  <c r="J16" i="26"/>
  <c r="U207" i="3"/>
  <c r="P9" i="3"/>
  <c r="M207" i="3"/>
  <c r="F16" i="26" s="1"/>
  <c r="J9" i="3"/>
  <c r="C17" i="19" s="1"/>
  <c r="H411" i="3"/>
  <c r="J373" i="3"/>
  <c r="C24" i="26" s="1"/>
  <c r="K11" i="3"/>
  <c r="K9" i="3" s="1"/>
  <c r="D17" i="19" s="1"/>
  <c r="U373" i="3"/>
  <c r="J24" i="26"/>
  <c r="M373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47" i="3"/>
  <c r="J23" i="26"/>
  <c r="U223" i="3"/>
  <c r="J17" i="26"/>
  <c r="J25" i="26"/>
  <c r="U387" i="3"/>
  <c r="J12" i="26"/>
  <c r="K327" i="3"/>
  <c r="U65" i="3"/>
  <c r="U9" i="3"/>
  <c r="K286" i="3"/>
  <c r="J17" i="19"/>
  <c r="P347" i="3"/>
  <c r="K280" i="3"/>
  <c r="D20" i="26" s="1"/>
  <c r="M223" i="3"/>
  <c r="F17" i="26" s="1"/>
  <c r="L411" i="3"/>
  <c r="K31" i="3"/>
  <c r="K29" i="3" s="1"/>
  <c r="D16" i="19" s="1"/>
  <c r="K34" i="3"/>
  <c r="K184" i="3"/>
  <c r="K225" i="3"/>
  <c r="J347" i="3"/>
  <c r="C23" i="26" s="1"/>
  <c r="K154" i="3"/>
  <c r="K150" i="3"/>
  <c r="K148" i="3" s="1"/>
  <c r="D14" i="26" s="1"/>
  <c r="K263" i="3"/>
  <c r="K42" i="3"/>
  <c r="K39" i="3"/>
  <c r="K37" i="3" s="1"/>
  <c r="D11" i="26" s="1"/>
  <c r="M347" i="3"/>
  <c r="F23" i="26" s="1"/>
  <c r="K15" i="3"/>
  <c r="K376" i="3"/>
  <c r="K323" i="3"/>
  <c r="K321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290" i="3" s="1"/>
  <c r="K349" i="3"/>
  <c r="K347" i="3" s="1"/>
  <c r="D23" i="26" s="1"/>
  <c r="J223" i="3"/>
  <c r="C17" i="26" s="1"/>
  <c r="K59" i="3"/>
  <c r="K57" i="3" s="1"/>
  <c r="D18" i="19" s="1"/>
  <c r="K62" i="3"/>
  <c r="K226" i="3"/>
  <c r="T17" i="28"/>
  <c r="U17" i="28" s="1"/>
  <c r="S411" i="3"/>
  <c r="I72" i="15" s="1"/>
  <c r="P17" i="28"/>
  <c r="Q17" i="28" s="1"/>
  <c r="O411" i="3"/>
  <c r="R17" i="28"/>
  <c r="V17" i="28"/>
  <c r="W17" i="28" s="1"/>
  <c r="T411" i="3"/>
  <c r="K72" i="15" s="1"/>
  <c r="N411" i="3"/>
  <c r="K391" i="3"/>
  <c r="K11" i="28"/>
  <c r="N11" i="28"/>
  <c r="K14" i="28"/>
  <c r="N24" i="28"/>
  <c r="K18" i="28"/>
  <c r="N18" i="28"/>
  <c r="R19" i="27"/>
  <c r="K19" i="28"/>
  <c r="M14" i="27"/>
  <c r="O14" i="27" s="1"/>
  <c r="U14" i="27" s="1"/>
  <c r="K395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N26" i="26" l="1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411" i="3"/>
  <c r="N97" i="1" s="1"/>
  <c r="K96" i="3"/>
  <c r="D21" i="26"/>
  <c r="K182" i="3"/>
  <c r="D15" i="26" s="1"/>
  <c r="U411" i="3"/>
  <c r="K387" i="3"/>
  <c r="D25" i="26" s="1"/>
  <c r="K207" i="3"/>
  <c r="D16" i="26" s="1"/>
  <c r="K373" i="3"/>
  <c r="D24" i="26" s="1"/>
  <c r="K65" i="3"/>
  <c r="D12" i="26" s="1"/>
  <c r="K102" i="3"/>
  <c r="D11" i="19"/>
  <c r="J411" i="3"/>
  <c r="C25" i="26"/>
  <c r="C26" i="26" s="1"/>
  <c r="S17" i="28"/>
  <c r="K223" i="3"/>
  <c r="M411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1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<sst xmlns="http://schemas.openxmlformats.org/spreadsheetml/2006/main" count="1201" uniqueCount="359">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</sst>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6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29" fillId="4" borderId="54" xfId="0" applyNumberFormat="1" applyFont="1" applyFill="1" applyBorder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/>
    </xf>
    <xf numFmtId="0" fontId="29" fillId="4" borderId="54" xfId="0" applyFont="1" applyFill="1" applyBorder="1" applyAlignment="1">
      <alignment horizontal="left" vertical="top"/>
    </xf>
    <xf numFmtId="180" fontId="29" fillId="4" borderId="54" xfId="0" applyNumberFormat="1" applyFont="1" applyFill="1" applyBorder="1" applyAlignment="1">
      <alignment horizontal="right" wrapText="1"/>
    </xf>
    <xf numFmtId="0" fontId="29" fillId="7" borderId="54" xfId="0" applyNumberFormat="1" applyFont="1" applyFill="1" applyBorder="1" applyAlignment="1">
      <alignment horizontal="center" vertical="center"/>
    </xf>
    <xf numFmtId="0" fontId="29" fillId="7" borderId="54" xfId="0" applyNumberFormat="1" applyFont="1" applyFill="1" applyBorder="1" applyAlignment="1">
      <alignment horizontal="left" vertical="top"/>
    </xf>
    <xf numFmtId="0" fontId="29" fillId="7" borderId="54" xfId="0" applyFont="1" applyFill="1" applyBorder="1" applyAlignment="1">
      <alignment horizontal="left" vertical="top"/>
    </xf>
    <xf numFmtId="180" fontId="29" fillId="7" borderId="54" xfId="0" applyNumberFormat="1" applyFont="1" applyFill="1" applyBorder="1" applyAlignment="1">
      <alignment horizontal="right" wrapText="1"/>
    </xf>
    <xf numFmtId="0" fontId="37" fillId="6" borderId="53" xfId="0" applyFont="1" applyFill="1" applyBorder="1" applyAlignment="1">
      <alignment horizontal="left" vertical="top"/>
    </xf>
    <xf numFmtId="180" fontId="37" fillId="6" borderId="53" xfId="0" applyNumberFormat="1" applyFont="1" applyFill="1" applyBorder="1" applyAlignment="1">
      <alignment horizontal="right" vertical="top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80" fontId="60" fillId="4" borderId="54" xfId="0" applyNumberFormat="1" applyFont="1" applyFill="1" applyBorder="1" applyAlignment="1">
      <alignment horizontal="right" vertical="center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80" fontId="60" fillId="7" borderId="54" xfId="0" applyNumberFormat="1" applyFont="1" applyFill="1" applyBorder="1" applyAlignment="1">
      <alignment horizontal="right" vertical="center"/>
    </xf>
    <xf numFmtId="0" fontId="61" fillId="6" borderId="53" xfId="0" applyFont="1" applyFill="1" applyBorder="1" applyAlignment="1">
      <alignment horizontal="left" vertical="top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37" fillId="6" borderId="53" xfId="0" applyFont="1" applyFill="1" applyBorder="1" applyAlignment="1">
      <alignment horizontal="left" vertical="top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88" t="s">
        <v>68</v>
      </c>
      <c r="C1" s="488"/>
      <c r="D1" s="488"/>
      <c r="E1" s="488"/>
      <c r="F1" s="488"/>
      <c r="G1" s="488"/>
      <c r="H1" s="488"/>
      <c r="I1" s="488"/>
      <c r="J1" s="488"/>
      <c r="K1" s="488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9" t="s">
        <v>0</v>
      </c>
      <c r="C8" s="489" t="s">
        <v>1</v>
      </c>
      <c r="D8" s="489"/>
      <c r="E8" s="54" t="s">
        <v>66</v>
      </c>
      <c r="F8" s="490" t="s">
        <v>71</v>
      </c>
      <c r="G8" s="490"/>
      <c r="H8" s="490"/>
      <c r="I8" s="490"/>
      <c r="J8" s="490"/>
      <c r="K8" s="55" t="s">
        <v>9</v>
      </c>
    </row>
    <row r="9" spans="1:15" x14ac:dyDescent="0.2">
      <c r="B9" s="489"/>
      <c r="C9" s="489"/>
      <c r="D9" s="489"/>
      <c r="E9" s="491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9"/>
      <c r="C10" s="489"/>
      <c r="D10" s="489"/>
      <c r="E10" s="491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9"/>
      <c r="C11" s="489"/>
      <c r="D11" s="489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87" t="s">
        <v>10</v>
      </c>
      <c r="D101" s="487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44661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46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9" t="s">
        <v>93</v>
      </c>
      <c r="L7" s="536" t="s">
        <v>125</v>
      </c>
      <c r="M7" s="551" t="s">
        <v>94</v>
      </c>
      <c r="N7" s="553" t="s">
        <v>186</v>
      </c>
      <c r="O7" s="551" t="s">
        <v>116</v>
      </c>
      <c r="P7" s="553" t="s">
        <v>105</v>
      </c>
      <c r="Q7" s="551" t="s">
        <v>95</v>
      </c>
      <c r="R7" s="553" t="s">
        <v>188</v>
      </c>
      <c r="S7" s="556" t="s">
        <v>187</v>
      </c>
      <c r="T7" s="553" t="s">
        <v>189</v>
      </c>
      <c r="U7" s="553" t="s">
        <v>190</v>
      </c>
      <c r="V7" s="553" t="s">
        <v>191</v>
      </c>
      <c r="W7" s="553" t="s">
        <v>192</v>
      </c>
      <c r="X7" s="55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47"/>
      <c r="C8" s="208"/>
      <c r="D8" s="209"/>
      <c r="E8" s="208"/>
      <c r="F8" s="210"/>
      <c r="G8" s="208"/>
      <c r="H8" s="211"/>
      <c r="I8" s="211"/>
      <c r="J8" s="212"/>
      <c r="K8" s="550"/>
      <c r="L8" s="537"/>
      <c r="M8" s="552"/>
      <c r="N8" s="554"/>
      <c r="O8" s="552"/>
      <c r="P8" s="554"/>
      <c r="Q8" s="552"/>
      <c r="R8" s="554"/>
      <c r="S8" s="557"/>
      <c r="T8" s="554"/>
      <c r="U8" s="554"/>
      <c r="V8" s="554"/>
      <c r="W8" s="554"/>
      <c r="X8" s="55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47"/>
      <c r="C9" s="208"/>
      <c r="D9" s="209"/>
      <c r="E9" s="208"/>
      <c r="F9" s="210"/>
      <c r="G9" s="208"/>
      <c r="H9" s="211"/>
      <c r="I9" s="211"/>
      <c r="J9" s="212"/>
      <c r="K9" s="550"/>
      <c r="L9" s="537"/>
      <c r="M9" s="552"/>
      <c r="N9" s="555"/>
      <c r="O9" s="552"/>
      <c r="P9" s="555"/>
      <c r="Q9" s="552"/>
      <c r="R9" s="555"/>
      <c r="S9" s="557"/>
      <c r="T9" s="555"/>
      <c r="U9" s="555"/>
      <c r="V9" s="555"/>
      <c r="W9" s="555"/>
      <c r="X9" s="55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48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5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92"/>
      <c r="D81" s="492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F65" activePane="bottomRight" state="frozen"/>
      <selection activeCell="B3" sqref="B3:B4"/>
      <selection pane="topRight" activeCell="B3" sqref="B3:B4"/>
      <selection pane="bottomLeft" activeCell="B3" sqref="B3:B4"/>
      <selection pane="bottomRight" activeCell="K99" sqref="K99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96" t="s">
        <v>48</v>
      </c>
      <c r="B3" s="496" t="s">
        <v>62</v>
      </c>
      <c r="C3" s="496" t="s">
        <v>348</v>
      </c>
      <c r="D3" s="496"/>
      <c r="E3" s="496" t="s">
        <v>349</v>
      </c>
      <c r="F3" s="493" t="s">
        <v>86</v>
      </c>
      <c r="G3" s="493" t="s">
        <v>350</v>
      </c>
      <c r="H3" s="493" t="s">
        <v>87</v>
      </c>
      <c r="I3" s="493" t="s">
        <v>351</v>
      </c>
      <c r="J3" s="493" t="s">
        <v>2</v>
      </c>
      <c r="K3" s="493" t="s">
        <v>352</v>
      </c>
      <c r="L3" s="493" t="s">
        <v>88</v>
      </c>
      <c r="M3" s="493" t="s">
        <v>4</v>
      </c>
      <c r="N3" s="493" t="s">
        <v>5</v>
      </c>
      <c r="O3" s="493" t="s">
        <v>12</v>
      </c>
      <c r="P3" s="493" t="s">
        <v>3</v>
      </c>
    </row>
    <row r="4" spans="1:17" s="445" customFormat="1" ht="32.1" customHeight="1" x14ac:dyDescent="0.2">
      <c r="A4" s="497"/>
      <c r="B4" s="496"/>
      <c r="C4" s="496"/>
      <c r="D4" s="496"/>
      <c r="E4" s="496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4"/>
    </row>
    <row r="5" spans="1:17" ht="17.100000000000001" customHeight="1" x14ac:dyDescent="0.2">
      <c r="A5" s="446" t="str">
        <f t="shared" ref="A5:A41" si="0"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85">
        <v>500000</v>
      </c>
      <c r="G5" s="485">
        <v>0</v>
      </c>
      <c r="H5" s="485">
        <v>500000</v>
      </c>
      <c r="I5" s="485">
        <v>0</v>
      </c>
      <c r="J5" s="485">
        <v>500000</v>
      </c>
      <c r="K5" s="485">
        <v>0</v>
      </c>
      <c r="L5" s="485">
        <v>500000</v>
      </c>
      <c r="M5" s="485">
        <v>129725.93</v>
      </c>
      <c r="N5" s="485">
        <v>129725.93</v>
      </c>
      <c r="O5" s="485"/>
      <c r="P5" s="447">
        <f>+L5-O5</f>
        <v>500000</v>
      </c>
    </row>
    <row r="6" spans="1:17" ht="17.100000000000001" customHeight="1" x14ac:dyDescent="0.2">
      <c r="A6" s="446" t="str">
        <f t="shared" si="0"/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6">
        <v>50000</v>
      </c>
      <c r="G6" s="486">
        <v>0</v>
      </c>
      <c r="H6" s="486">
        <v>50000</v>
      </c>
      <c r="I6" s="486">
        <v>0</v>
      </c>
      <c r="J6" s="486">
        <v>50000</v>
      </c>
      <c r="K6" s="486">
        <v>0</v>
      </c>
      <c r="L6" s="486">
        <v>50000</v>
      </c>
      <c r="M6" s="486">
        <v>36939.050000000003</v>
      </c>
      <c r="N6" s="486">
        <v>36939.050000000003</v>
      </c>
      <c r="O6" s="486"/>
      <c r="P6" s="448">
        <f t="shared" ref="P6:P94" si="1">+L6-O6</f>
        <v>50000</v>
      </c>
    </row>
    <row r="7" spans="1:17" ht="17.100000000000001" customHeight="1" x14ac:dyDescent="0.2">
      <c r="A7" s="446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85">
        <v>300000</v>
      </c>
      <c r="G7" s="485">
        <v>0</v>
      </c>
      <c r="H7" s="485">
        <v>300000</v>
      </c>
      <c r="I7" s="485">
        <v>0</v>
      </c>
      <c r="J7" s="485">
        <v>300000</v>
      </c>
      <c r="K7" s="485">
        <v>0</v>
      </c>
      <c r="L7" s="485">
        <v>300000</v>
      </c>
      <c r="M7" s="485">
        <v>278026.40000000002</v>
      </c>
      <c r="N7" s="485">
        <v>278026.40000000002</v>
      </c>
      <c r="O7" s="485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79">
        <v>93048</v>
      </c>
      <c r="C8" s="480">
        <v>3</v>
      </c>
      <c r="D8" s="481" t="s">
        <v>8</v>
      </c>
      <c r="E8" s="480">
        <v>100</v>
      </c>
      <c r="F8" s="486">
        <v>10000</v>
      </c>
      <c r="G8" s="486">
        <v>0</v>
      </c>
      <c r="H8" s="486">
        <v>10000</v>
      </c>
      <c r="I8" s="486">
        <v>0</v>
      </c>
      <c r="J8" s="486">
        <v>10000</v>
      </c>
      <c r="K8" s="486">
        <v>0</v>
      </c>
      <c r="L8" s="486">
        <v>10000</v>
      </c>
      <c r="M8" s="486">
        <v>10000</v>
      </c>
      <c r="N8" s="486">
        <v>10000</v>
      </c>
      <c r="O8" s="486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75">
        <v>107292</v>
      </c>
      <c r="C9" s="476">
        <v>1</v>
      </c>
      <c r="D9" s="477" t="s">
        <v>11</v>
      </c>
      <c r="E9" s="476">
        <v>100</v>
      </c>
      <c r="F9" s="485">
        <v>1000000</v>
      </c>
      <c r="G9" s="485">
        <v>0</v>
      </c>
      <c r="H9" s="485">
        <v>1000000</v>
      </c>
      <c r="I9" s="485">
        <v>0</v>
      </c>
      <c r="J9" s="485">
        <v>1000000</v>
      </c>
      <c r="K9" s="485">
        <v>0</v>
      </c>
      <c r="L9" s="485">
        <v>1000000</v>
      </c>
      <c r="M9" s="485">
        <v>1000000</v>
      </c>
      <c r="N9" s="485">
        <v>0</v>
      </c>
      <c r="O9" s="485">
        <v>1000000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79">
        <v>107292</v>
      </c>
      <c r="C10" s="480">
        <v>3</v>
      </c>
      <c r="D10" s="481" t="s">
        <v>8</v>
      </c>
      <c r="E10" s="480">
        <v>100</v>
      </c>
      <c r="F10" s="486">
        <v>50000</v>
      </c>
      <c r="G10" s="486">
        <v>0</v>
      </c>
      <c r="H10" s="486">
        <v>50000</v>
      </c>
      <c r="I10" s="486">
        <v>0</v>
      </c>
      <c r="J10" s="486">
        <v>50000</v>
      </c>
      <c r="K10" s="486">
        <v>0</v>
      </c>
      <c r="L10" s="486">
        <v>50000</v>
      </c>
      <c r="M10" s="486">
        <v>50000</v>
      </c>
      <c r="N10" s="486">
        <v>0</v>
      </c>
      <c r="O10" s="486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75">
        <v>128803</v>
      </c>
      <c r="C11" s="476">
        <v>3</v>
      </c>
      <c r="D11" s="477" t="s">
        <v>8</v>
      </c>
      <c r="E11" s="476">
        <v>142</v>
      </c>
      <c r="F11" s="485">
        <v>60000</v>
      </c>
      <c r="G11" s="485">
        <v>0</v>
      </c>
      <c r="H11" s="485">
        <v>60000</v>
      </c>
      <c r="I11" s="485">
        <v>0</v>
      </c>
      <c r="J11" s="485">
        <v>60000</v>
      </c>
      <c r="K11" s="485">
        <v>0</v>
      </c>
      <c r="L11" s="485">
        <v>60000</v>
      </c>
      <c r="M11" s="485">
        <v>60000</v>
      </c>
      <c r="N11" s="485">
        <v>60000</v>
      </c>
      <c r="O11" s="485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79">
        <v>128805</v>
      </c>
      <c r="C12" s="480">
        <v>3</v>
      </c>
      <c r="D12" s="481" t="s">
        <v>8</v>
      </c>
      <c r="E12" s="480">
        <v>142</v>
      </c>
      <c r="F12" s="486">
        <v>30000</v>
      </c>
      <c r="G12" s="486">
        <v>0</v>
      </c>
      <c r="H12" s="486">
        <v>30000</v>
      </c>
      <c r="I12" s="486">
        <v>0</v>
      </c>
      <c r="J12" s="486">
        <v>30000</v>
      </c>
      <c r="K12" s="486">
        <v>0</v>
      </c>
      <c r="L12" s="486">
        <v>30000</v>
      </c>
      <c r="M12" s="486">
        <v>2873.19</v>
      </c>
      <c r="N12" s="486">
        <v>2873.19</v>
      </c>
      <c r="O12" s="486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75">
        <v>128807</v>
      </c>
      <c r="C13" s="476">
        <v>3</v>
      </c>
      <c r="D13" s="477" t="s">
        <v>8</v>
      </c>
      <c r="E13" s="476">
        <v>142</v>
      </c>
      <c r="F13" s="485">
        <v>25000</v>
      </c>
      <c r="G13" s="485">
        <v>0</v>
      </c>
      <c r="H13" s="485">
        <v>25000</v>
      </c>
      <c r="I13" s="485">
        <v>0</v>
      </c>
      <c r="J13" s="485">
        <v>25000</v>
      </c>
      <c r="K13" s="485">
        <v>0</v>
      </c>
      <c r="L13" s="485">
        <v>25000</v>
      </c>
      <c r="M13" s="485">
        <v>25000</v>
      </c>
      <c r="N13" s="485">
        <v>25000</v>
      </c>
      <c r="O13" s="485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79">
        <v>128809</v>
      </c>
      <c r="C14" s="480">
        <v>3</v>
      </c>
      <c r="D14" s="481" t="s">
        <v>8</v>
      </c>
      <c r="E14" s="480">
        <v>142</v>
      </c>
      <c r="F14" s="486">
        <v>50000</v>
      </c>
      <c r="G14" s="486">
        <v>0</v>
      </c>
      <c r="H14" s="486">
        <v>50000</v>
      </c>
      <c r="I14" s="486">
        <v>0</v>
      </c>
      <c r="J14" s="486">
        <v>50000</v>
      </c>
      <c r="K14" s="486">
        <v>0</v>
      </c>
      <c r="L14" s="486">
        <v>50000</v>
      </c>
      <c r="M14" s="486">
        <v>50000</v>
      </c>
      <c r="N14" s="486">
        <v>50000</v>
      </c>
      <c r="O14" s="486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75">
        <v>128811</v>
      </c>
      <c r="C15" s="476">
        <v>3</v>
      </c>
      <c r="D15" s="477" t="s">
        <v>8</v>
      </c>
      <c r="E15" s="476">
        <v>142</v>
      </c>
      <c r="F15" s="485">
        <v>70000</v>
      </c>
      <c r="G15" s="485">
        <v>0</v>
      </c>
      <c r="H15" s="485">
        <v>70000</v>
      </c>
      <c r="I15" s="485">
        <v>0</v>
      </c>
      <c r="J15" s="485">
        <v>70000</v>
      </c>
      <c r="K15" s="485">
        <v>0</v>
      </c>
      <c r="L15" s="485">
        <v>70000</v>
      </c>
      <c r="M15" s="485">
        <v>119.919999999998</v>
      </c>
      <c r="N15" s="485">
        <v>119.92</v>
      </c>
      <c r="O15" s="485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79">
        <v>139605</v>
      </c>
      <c r="C16" s="480">
        <v>3</v>
      </c>
      <c r="D16" s="481" t="s">
        <v>8</v>
      </c>
      <c r="E16" s="480">
        <v>151</v>
      </c>
      <c r="F16" s="486">
        <v>322868</v>
      </c>
      <c r="G16" s="486">
        <v>0</v>
      </c>
      <c r="H16" s="486">
        <v>322868</v>
      </c>
      <c r="I16" s="486">
        <v>0</v>
      </c>
      <c r="J16" s="486">
        <v>322868</v>
      </c>
      <c r="K16" s="486">
        <v>0</v>
      </c>
      <c r="L16" s="486">
        <v>322868</v>
      </c>
      <c r="M16" s="486">
        <v>241836.42</v>
      </c>
      <c r="N16" s="486">
        <v>241836.42</v>
      </c>
      <c r="O16" s="486"/>
      <c r="P16" s="448">
        <f t="shared" si="1"/>
        <v>322868</v>
      </c>
    </row>
    <row r="17" spans="1:16" ht="17.100000000000001" customHeight="1" x14ac:dyDescent="0.2">
      <c r="A17" s="446" t="str">
        <f t="shared" si="0"/>
        <v>174222-1-100</v>
      </c>
      <c r="B17" s="475">
        <v>174222</v>
      </c>
      <c r="C17" s="476">
        <v>1</v>
      </c>
      <c r="D17" s="477" t="s">
        <v>11</v>
      </c>
      <c r="E17" s="476">
        <v>100</v>
      </c>
      <c r="F17" s="485">
        <v>343663503</v>
      </c>
      <c r="G17" s="485">
        <v>-3436635</v>
      </c>
      <c r="H17" s="485">
        <v>340226868</v>
      </c>
      <c r="I17" s="485">
        <v>0</v>
      </c>
      <c r="J17" s="485">
        <v>340226868</v>
      </c>
      <c r="K17" s="485">
        <v>0</v>
      </c>
      <c r="L17" s="485">
        <v>340226868</v>
      </c>
      <c r="M17" s="485">
        <v>237835855.74000001</v>
      </c>
      <c r="N17" s="485">
        <v>237835855.74000001</v>
      </c>
      <c r="O17" s="485"/>
      <c r="P17" s="449">
        <f>+L17-O17</f>
        <v>340226868</v>
      </c>
    </row>
    <row r="18" spans="1:16" ht="17.100000000000001" customHeight="1" x14ac:dyDescent="0.2">
      <c r="A18" s="446" t="str">
        <f t="shared" si="0"/>
        <v>174224-3-151</v>
      </c>
      <c r="B18" s="479">
        <v>174224</v>
      </c>
      <c r="C18" s="480">
        <v>3</v>
      </c>
      <c r="D18" s="481" t="s">
        <v>8</v>
      </c>
      <c r="E18" s="480">
        <v>151</v>
      </c>
      <c r="F18" s="486">
        <v>25591140</v>
      </c>
      <c r="G18" s="486">
        <v>0</v>
      </c>
      <c r="H18" s="486">
        <v>25591140</v>
      </c>
      <c r="I18" s="486">
        <v>0</v>
      </c>
      <c r="J18" s="486">
        <v>25591140</v>
      </c>
      <c r="K18" s="486">
        <v>0</v>
      </c>
      <c r="L18" s="486">
        <v>25591140</v>
      </c>
      <c r="M18" s="486">
        <v>20834055.390000001</v>
      </c>
      <c r="N18" s="486">
        <v>20834055.390000001</v>
      </c>
      <c r="O18" s="486"/>
      <c r="P18" s="448">
        <f t="shared" si="1"/>
        <v>25591140</v>
      </c>
    </row>
    <row r="19" spans="1:16" ht="17.100000000000001" customHeight="1" x14ac:dyDescent="0.2">
      <c r="A19" s="446" t="str">
        <f t="shared" si="0"/>
        <v>174225-3-151</v>
      </c>
      <c r="B19" s="475">
        <v>174225</v>
      </c>
      <c r="C19" s="476">
        <v>3</v>
      </c>
      <c r="D19" s="477" t="s">
        <v>8</v>
      </c>
      <c r="E19" s="476">
        <v>151</v>
      </c>
      <c r="F19" s="485">
        <v>997967</v>
      </c>
      <c r="G19" s="485">
        <v>0</v>
      </c>
      <c r="H19" s="485">
        <v>997967</v>
      </c>
      <c r="I19" s="485">
        <v>0</v>
      </c>
      <c r="J19" s="485">
        <v>997967</v>
      </c>
      <c r="K19" s="485">
        <v>0</v>
      </c>
      <c r="L19" s="485">
        <v>997967</v>
      </c>
      <c r="M19" s="485">
        <v>741191.59</v>
      </c>
      <c r="N19" s="485">
        <v>741191.59</v>
      </c>
      <c r="O19" s="485"/>
      <c r="P19" s="449">
        <f>+L19-O19</f>
        <v>997967</v>
      </c>
    </row>
    <row r="20" spans="1:16" ht="17.100000000000001" customHeight="1" x14ac:dyDescent="0.2">
      <c r="A20" s="446" t="str">
        <f t="shared" si="0"/>
        <v>174228-3-142</v>
      </c>
      <c r="B20" s="479">
        <v>174228</v>
      </c>
      <c r="C20" s="480">
        <v>3</v>
      </c>
      <c r="D20" s="481" t="s">
        <v>8</v>
      </c>
      <c r="E20" s="480">
        <v>142</v>
      </c>
      <c r="F20" s="486">
        <v>400000</v>
      </c>
      <c r="G20" s="486">
        <v>0</v>
      </c>
      <c r="H20" s="486">
        <v>400000</v>
      </c>
      <c r="I20" s="486">
        <v>0</v>
      </c>
      <c r="J20" s="486">
        <v>400000</v>
      </c>
      <c r="K20" s="486">
        <v>0</v>
      </c>
      <c r="L20" s="486">
        <v>400000</v>
      </c>
      <c r="M20" s="486">
        <v>400000</v>
      </c>
      <c r="N20" s="486">
        <v>400000</v>
      </c>
      <c r="O20" s="486"/>
      <c r="P20" s="448">
        <f t="shared" si="1"/>
        <v>400000</v>
      </c>
    </row>
    <row r="21" spans="1:16" ht="17.100000000000001" customHeight="1" x14ac:dyDescent="0.2">
      <c r="A21" s="446" t="str">
        <f t="shared" si="0"/>
        <v>174229-3-142</v>
      </c>
      <c r="B21" s="475">
        <v>174229</v>
      </c>
      <c r="C21" s="476">
        <v>3</v>
      </c>
      <c r="D21" s="477" t="s">
        <v>8</v>
      </c>
      <c r="E21" s="476">
        <v>142</v>
      </c>
      <c r="F21" s="485">
        <v>400000</v>
      </c>
      <c r="G21" s="485">
        <v>0</v>
      </c>
      <c r="H21" s="485">
        <v>400000</v>
      </c>
      <c r="I21" s="485">
        <v>0</v>
      </c>
      <c r="J21" s="485">
        <v>400000</v>
      </c>
      <c r="K21" s="485">
        <v>0</v>
      </c>
      <c r="L21" s="485">
        <v>400000</v>
      </c>
      <c r="M21" s="485">
        <v>400000</v>
      </c>
      <c r="N21" s="485">
        <v>400000</v>
      </c>
      <c r="O21" s="485"/>
      <c r="P21" s="449">
        <f>+L21-O21</f>
        <v>400000</v>
      </c>
    </row>
    <row r="22" spans="1:16" ht="17.100000000000001" customHeight="1" x14ac:dyDescent="0.2">
      <c r="A22" s="446" t="str">
        <f t="shared" si="0"/>
        <v>174230-3-142</v>
      </c>
      <c r="B22" s="479">
        <v>174230</v>
      </c>
      <c r="C22" s="480">
        <v>3</v>
      </c>
      <c r="D22" s="481" t="s">
        <v>8</v>
      </c>
      <c r="E22" s="480">
        <v>142</v>
      </c>
      <c r="F22" s="486">
        <v>300000</v>
      </c>
      <c r="G22" s="486">
        <v>0</v>
      </c>
      <c r="H22" s="486">
        <v>300000</v>
      </c>
      <c r="I22" s="486">
        <v>0</v>
      </c>
      <c r="J22" s="486">
        <v>300000</v>
      </c>
      <c r="K22" s="486">
        <v>0</v>
      </c>
      <c r="L22" s="486">
        <v>300000</v>
      </c>
      <c r="M22" s="486">
        <v>283961.38</v>
      </c>
      <c r="N22" s="486">
        <v>283961.38</v>
      </c>
      <c r="O22" s="486"/>
      <c r="P22" s="448">
        <f t="shared" si="1"/>
        <v>300000</v>
      </c>
    </row>
    <row r="23" spans="1:16" ht="17.100000000000001" customHeight="1" x14ac:dyDescent="0.2">
      <c r="A23" s="446" t="str">
        <f t="shared" si="0"/>
        <v>174231-3-142</v>
      </c>
      <c r="B23" s="475">
        <v>174231</v>
      </c>
      <c r="C23" s="476">
        <v>3</v>
      </c>
      <c r="D23" s="477" t="s">
        <v>8</v>
      </c>
      <c r="E23" s="476">
        <v>142</v>
      </c>
      <c r="F23" s="485">
        <v>400000</v>
      </c>
      <c r="G23" s="485">
        <v>0</v>
      </c>
      <c r="H23" s="485">
        <v>400000</v>
      </c>
      <c r="I23" s="485">
        <v>0</v>
      </c>
      <c r="J23" s="485">
        <v>400000</v>
      </c>
      <c r="K23" s="485">
        <v>0</v>
      </c>
      <c r="L23" s="485">
        <v>400000</v>
      </c>
      <c r="M23" s="485">
        <v>336369.27</v>
      </c>
      <c r="N23" s="485">
        <v>336369.27</v>
      </c>
      <c r="O23" s="485"/>
      <c r="P23" s="449">
        <f>+L23-O23</f>
        <v>400000</v>
      </c>
    </row>
    <row r="24" spans="1:16" ht="17.100000000000001" customHeight="1" x14ac:dyDescent="0.2">
      <c r="A24" s="446" t="str">
        <f t="shared" si="0"/>
        <v>174231-4-142</v>
      </c>
      <c r="B24" s="479">
        <v>174231</v>
      </c>
      <c r="C24" s="480">
        <v>4</v>
      </c>
      <c r="D24" s="481" t="s">
        <v>7</v>
      </c>
      <c r="E24" s="480">
        <v>142</v>
      </c>
      <c r="F24" s="486">
        <v>200000</v>
      </c>
      <c r="G24" s="486">
        <v>0</v>
      </c>
      <c r="H24" s="486">
        <v>200000</v>
      </c>
      <c r="I24" s="486">
        <v>0</v>
      </c>
      <c r="J24" s="486">
        <v>200000</v>
      </c>
      <c r="K24" s="486">
        <v>0</v>
      </c>
      <c r="L24" s="486">
        <v>200000</v>
      </c>
      <c r="M24" s="486">
        <v>198959.94</v>
      </c>
      <c r="N24" s="486">
        <v>198959.94</v>
      </c>
      <c r="O24" s="486"/>
      <c r="P24" s="448">
        <f t="shared" si="1"/>
        <v>200000</v>
      </c>
    </row>
    <row r="25" spans="1:16" ht="17.100000000000001" customHeight="1" x14ac:dyDescent="0.2">
      <c r="A25" s="446" t="str">
        <f t="shared" si="0"/>
        <v>174232-3-100</v>
      </c>
      <c r="B25" s="475">
        <v>174232</v>
      </c>
      <c r="C25" s="476">
        <v>3</v>
      </c>
      <c r="D25" s="477" t="s">
        <v>8</v>
      </c>
      <c r="E25" s="476">
        <v>100</v>
      </c>
      <c r="F25" s="485"/>
      <c r="G25" s="485">
        <v>4950000</v>
      </c>
      <c r="H25" s="485">
        <v>4950000</v>
      </c>
      <c r="I25" s="485">
        <v>0</v>
      </c>
      <c r="J25" s="485">
        <v>4950000</v>
      </c>
      <c r="K25" s="485">
        <v>0</v>
      </c>
      <c r="L25" s="485">
        <v>4950000</v>
      </c>
      <c r="M25" s="485">
        <v>4950000</v>
      </c>
      <c r="N25" s="485">
        <v>4950000</v>
      </c>
      <c r="O25" s="485"/>
      <c r="P25" s="449">
        <f>+L25-O25</f>
        <v>4950000</v>
      </c>
    </row>
    <row r="26" spans="1:16" ht="17.100000000000001" customHeight="1" x14ac:dyDescent="0.2">
      <c r="A26" s="446" t="str">
        <f t="shared" si="0"/>
        <v>174232-3-142</v>
      </c>
      <c r="B26" s="479">
        <v>174232</v>
      </c>
      <c r="C26" s="480">
        <v>3</v>
      </c>
      <c r="D26" s="481" t="s">
        <v>8</v>
      </c>
      <c r="E26" s="480">
        <v>142</v>
      </c>
      <c r="F26" s="486">
        <v>33000000</v>
      </c>
      <c r="G26" s="486">
        <v>-4950000</v>
      </c>
      <c r="H26" s="486">
        <v>28050000</v>
      </c>
      <c r="I26" s="486">
        <v>0</v>
      </c>
      <c r="J26" s="486">
        <v>28050000</v>
      </c>
      <c r="K26" s="486">
        <v>0</v>
      </c>
      <c r="L26" s="486">
        <v>28050000</v>
      </c>
      <c r="M26" s="486">
        <v>23943026.949999999</v>
      </c>
      <c r="N26" s="486">
        <v>23838103.800000001</v>
      </c>
      <c r="O26" s="486"/>
      <c r="P26" s="448">
        <f t="shared" si="1"/>
        <v>28050000</v>
      </c>
    </row>
    <row r="27" spans="1:16" ht="17.100000000000001" customHeight="1" x14ac:dyDescent="0.2">
      <c r="A27" s="446" t="str">
        <f t="shared" si="0"/>
        <v>174232-4-142</v>
      </c>
      <c r="B27" s="475">
        <v>174232</v>
      </c>
      <c r="C27" s="476">
        <v>4</v>
      </c>
      <c r="D27" s="477" t="s">
        <v>7</v>
      </c>
      <c r="E27" s="476">
        <v>142</v>
      </c>
      <c r="F27" s="485">
        <v>2000000</v>
      </c>
      <c r="G27" s="485">
        <v>0</v>
      </c>
      <c r="H27" s="485">
        <v>2000000</v>
      </c>
      <c r="I27" s="485">
        <v>0</v>
      </c>
      <c r="J27" s="485">
        <v>2000000</v>
      </c>
      <c r="K27" s="485">
        <v>0</v>
      </c>
      <c r="L27" s="485">
        <v>2000000</v>
      </c>
      <c r="M27" s="485">
        <v>1940323.01</v>
      </c>
      <c r="N27" s="485">
        <v>1940323.01</v>
      </c>
      <c r="O27" s="485"/>
      <c r="P27" s="449">
        <f>+L27-O27</f>
        <v>2000000</v>
      </c>
    </row>
    <row r="28" spans="1:16" ht="17.100000000000001" customHeight="1" x14ac:dyDescent="0.2">
      <c r="A28" s="446" t="str">
        <f t="shared" si="0"/>
        <v>174233-3-142</v>
      </c>
      <c r="B28" s="479">
        <v>174233</v>
      </c>
      <c r="C28" s="480">
        <v>3</v>
      </c>
      <c r="D28" s="481" t="s">
        <v>8</v>
      </c>
      <c r="E28" s="480">
        <v>142</v>
      </c>
      <c r="F28" s="486">
        <v>200000</v>
      </c>
      <c r="G28" s="486">
        <v>0</v>
      </c>
      <c r="H28" s="486">
        <v>200000</v>
      </c>
      <c r="I28" s="486">
        <v>0</v>
      </c>
      <c r="J28" s="486">
        <v>200000</v>
      </c>
      <c r="K28" s="486">
        <v>0</v>
      </c>
      <c r="L28" s="486">
        <v>200000</v>
      </c>
      <c r="M28" s="486">
        <v>17411.82</v>
      </c>
      <c r="N28" s="486">
        <v>17411.82</v>
      </c>
      <c r="O28" s="486"/>
      <c r="P28" s="448">
        <f t="shared" si="1"/>
        <v>200000</v>
      </c>
    </row>
    <row r="29" spans="1:16" ht="17.100000000000001" customHeight="1" x14ac:dyDescent="0.2">
      <c r="A29" s="446" t="str">
        <f t="shared" si="0"/>
        <v>174233-4-142</v>
      </c>
      <c r="B29" s="475">
        <v>174233</v>
      </c>
      <c r="C29" s="476">
        <v>4</v>
      </c>
      <c r="D29" s="477" t="s">
        <v>7</v>
      </c>
      <c r="E29" s="476">
        <v>142</v>
      </c>
      <c r="F29" s="485">
        <v>150000</v>
      </c>
      <c r="G29" s="485">
        <v>0</v>
      </c>
      <c r="H29" s="485">
        <v>150000</v>
      </c>
      <c r="I29" s="485">
        <v>0</v>
      </c>
      <c r="J29" s="485">
        <v>150000</v>
      </c>
      <c r="K29" s="485">
        <v>0</v>
      </c>
      <c r="L29" s="485">
        <v>150000</v>
      </c>
      <c r="M29" s="485">
        <v>144803</v>
      </c>
      <c r="N29" s="485">
        <v>144803</v>
      </c>
      <c r="O29" s="485"/>
      <c r="P29" s="449">
        <f>+L29-O29</f>
        <v>150000</v>
      </c>
    </row>
    <row r="30" spans="1:16" ht="17.100000000000001" customHeight="1" x14ac:dyDescent="0.2">
      <c r="A30" s="446" t="str">
        <f t="shared" si="0"/>
        <v>174234-3-142</v>
      </c>
      <c r="B30" s="479">
        <v>174234</v>
      </c>
      <c r="C30" s="480">
        <v>3</v>
      </c>
      <c r="D30" s="481" t="s">
        <v>8</v>
      </c>
      <c r="E30" s="480">
        <v>142</v>
      </c>
      <c r="F30" s="486">
        <v>1000000</v>
      </c>
      <c r="G30" s="486">
        <v>0</v>
      </c>
      <c r="H30" s="486">
        <v>1000000</v>
      </c>
      <c r="I30" s="486">
        <v>0</v>
      </c>
      <c r="J30" s="486">
        <v>1000000</v>
      </c>
      <c r="K30" s="486">
        <v>0</v>
      </c>
      <c r="L30" s="486">
        <v>1000000</v>
      </c>
      <c r="M30" s="486">
        <v>834367.54</v>
      </c>
      <c r="N30" s="486">
        <v>634367.54</v>
      </c>
      <c r="O30" s="486">
        <v>200000</v>
      </c>
      <c r="P30" s="448">
        <f t="shared" si="1"/>
        <v>800000</v>
      </c>
    </row>
    <row r="31" spans="1:16" ht="17.100000000000001" customHeight="1" x14ac:dyDescent="0.2">
      <c r="A31" s="446" t="str">
        <f t="shared" si="0"/>
        <v>174234-4-142</v>
      </c>
      <c r="B31" s="475">
        <v>174234</v>
      </c>
      <c r="C31" s="476">
        <v>4</v>
      </c>
      <c r="D31" s="477" t="s">
        <v>7</v>
      </c>
      <c r="E31" s="476">
        <v>142</v>
      </c>
      <c r="F31" s="485">
        <v>300000</v>
      </c>
      <c r="G31" s="485">
        <v>0</v>
      </c>
      <c r="H31" s="485">
        <v>300000</v>
      </c>
      <c r="I31" s="485">
        <v>0</v>
      </c>
      <c r="J31" s="485">
        <v>300000</v>
      </c>
      <c r="K31" s="485">
        <v>0</v>
      </c>
      <c r="L31" s="485">
        <v>300000</v>
      </c>
      <c r="M31" s="485">
        <v>35202.370000000003</v>
      </c>
      <c r="N31" s="485">
        <v>35202.370000000003</v>
      </c>
      <c r="O31" s="485"/>
      <c r="P31" s="449">
        <f>+L31-O31</f>
        <v>300000</v>
      </c>
    </row>
    <row r="32" spans="1:16" ht="17.100000000000001" customHeight="1" x14ac:dyDescent="0.2">
      <c r="A32" s="446" t="str">
        <f t="shared" si="0"/>
        <v>174235-3-142</v>
      </c>
      <c r="B32" s="479">
        <v>174235</v>
      </c>
      <c r="C32" s="480">
        <v>3</v>
      </c>
      <c r="D32" s="481" t="s">
        <v>8</v>
      </c>
      <c r="E32" s="480">
        <v>142</v>
      </c>
      <c r="F32" s="486">
        <v>200000</v>
      </c>
      <c r="G32" s="486">
        <v>0</v>
      </c>
      <c r="H32" s="486">
        <v>200000</v>
      </c>
      <c r="I32" s="486">
        <v>0</v>
      </c>
      <c r="J32" s="486">
        <v>200000</v>
      </c>
      <c r="K32" s="486">
        <v>0</v>
      </c>
      <c r="L32" s="486">
        <v>200000</v>
      </c>
      <c r="M32" s="486">
        <v>142765.23000000001</v>
      </c>
      <c r="N32" s="486">
        <v>142765.23000000001</v>
      </c>
      <c r="O32" s="486"/>
      <c r="P32" s="448">
        <f t="shared" si="1"/>
        <v>200000</v>
      </c>
    </row>
    <row r="33" spans="1:16" ht="17.100000000000001" customHeight="1" x14ac:dyDescent="0.2">
      <c r="A33" s="446" t="str">
        <f t="shared" si="0"/>
        <v>174236-3-142</v>
      </c>
      <c r="B33" s="475">
        <v>174236</v>
      </c>
      <c r="C33" s="476">
        <v>3</v>
      </c>
      <c r="D33" s="477" t="s">
        <v>8</v>
      </c>
      <c r="E33" s="476">
        <v>142</v>
      </c>
      <c r="F33" s="485">
        <v>200000</v>
      </c>
      <c r="G33" s="485">
        <v>0</v>
      </c>
      <c r="H33" s="485">
        <v>200000</v>
      </c>
      <c r="I33" s="485">
        <v>0</v>
      </c>
      <c r="J33" s="485">
        <v>200000</v>
      </c>
      <c r="K33" s="485">
        <v>0</v>
      </c>
      <c r="L33" s="485">
        <v>200000</v>
      </c>
      <c r="M33" s="485">
        <v>187292.55</v>
      </c>
      <c r="N33" s="485">
        <v>187292.55</v>
      </c>
      <c r="O33" s="485"/>
      <c r="P33" s="449">
        <f>+L33-O33</f>
        <v>200000</v>
      </c>
    </row>
    <row r="34" spans="1:16" ht="17.100000000000001" customHeight="1" x14ac:dyDescent="0.2">
      <c r="A34" s="446" t="str">
        <f t="shared" si="0"/>
        <v>174236-4-142</v>
      </c>
      <c r="B34" s="479">
        <v>174236</v>
      </c>
      <c r="C34" s="480">
        <v>4</v>
      </c>
      <c r="D34" s="481" t="s">
        <v>7</v>
      </c>
      <c r="E34" s="480">
        <v>142</v>
      </c>
      <c r="F34" s="486">
        <v>25000</v>
      </c>
      <c r="G34" s="486">
        <v>0</v>
      </c>
      <c r="H34" s="486">
        <v>25000</v>
      </c>
      <c r="I34" s="486">
        <v>0</v>
      </c>
      <c r="J34" s="486">
        <v>25000</v>
      </c>
      <c r="K34" s="486">
        <v>0</v>
      </c>
      <c r="L34" s="486">
        <v>25000</v>
      </c>
      <c r="M34" s="486">
        <v>25000</v>
      </c>
      <c r="N34" s="486">
        <v>25000</v>
      </c>
      <c r="O34" s="486"/>
      <c r="P34" s="448">
        <f t="shared" si="1"/>
        <v>25000</v>
      </c>
    </row>
    <row r="35" spans="1:16" ht="17.100000000000001" customHeight="1" x14ac:dyDescent="0.2">
      <c r="A35" s="446" t="str">
        <f t="shared" si="0"/>
        <v>174237-3-142</v>
      </c>
      <c r="B35" s="475">
        <v>174237</v>
      </c>
      <c r="C35" s="476">
        <v>3</v>
      </c>
      <c r="D35" s="477" t="s">
        <v>8</v>
      </c>
      <c r="E35" s="476">
        <v>142</v>
      </c>
      <c r="F35" s="485">
        <v>1305000</v>
      </c>
      <c r="G35" s="485">
        <v>0</v>
      </c>
      <c r="H35" s="485">
        <v>1305000</v>
      </c>
      <c r="I35" s="485">
        <v>0</v>
      </c>
      <c r="J35" s="485">
        <v>1305000</v>
      </c>
      <c r="K35" s="485">
        <v>0</v>
      </c>
      <c r="L35" s="485">
        <v>1305000</v>
      </c>
      <c r="M35" s="485">
        <v>1190035.73</v>
      </c>
      <c r="N35" s="485">
        <v>1091335.73</v>
      </c>
      <c r="O35" s="485"/>
      <c r="P35" s="449">
        <f>+L35-O35</f>
        <v>1305000</v>
      </c>
    </row>
    <row r="36" spans="1:16" ht="17.100000000000001" customHeight="1" x14ac:dyDescent="0.2">
      <c r="A36" s="446" t="str">
        <f t="shared" si="0"/>
        <v>174237-4-142</v>
      </c>
      <c r="B36" s="479">
        <v>174237</v>
      </c>
      <c r="C36" s="480">
        <v>4</v>
      </c>
      <c r="D36" s="481" t="s">
        <v>7</v>
      </c>
      <c r="E36" s="480">
        <v>142</v>
      </c>
      <c r="F36" s="486">
        <v>145000</v>
      </c>
      <c r="G36" s="486">
        <v>0</v>
      </c>
      <c r="H36" s="486">
        <v>145000</v>
      </c>
      <c r="I36" s="486">
        <v>0</v>
      </c>
      <c r="J36" s="486">
        <v>145000</v>
      </c>
      <c r="K36" s="486">
        <v>0</v>
      </c>
      <c r="L36" s="486">
        <v>145000</v>
      </c>
      <c r="M36" s="486">
        <v>145000</v>
      </c>
      <c r="N36" s="486">
        <v>145000</v>
      </c>
      <c r="O36" s="486"/>
      <c r="P36" s="448">
        <f t="shared" si="1"/>
        <v>145000</v>
      </c>
    </row>
    <row r="37" spans="1:16" ht="17.100000000000001" customHeight="1" x14ac:dyDescent="0.2">
      <c r="A37" s="446" t="str">
        <f t="shared" si="0"/>
        <v>174238-3-142</v>
      </c>
      <c r="B37" s="475">
        <v>174238</v>
      </c>
      <c r="C37" s="476">
        <v>3</v>
      </c>
      <c r="D37" s="477" t="s">
        <v>8</v>
      </c>
      <c r="E37" s="476">
        <v>142</v>
      </c>
      <c r="F37" s="485">
        <v>200000</v>
      </c>
      <c r="G37" s="485">
        <v>0</v>
      </c>
      <c r="H37" s="485">
        <v>200000</v>
      </c>
      <c r="I37" s="485">
        <v>0</v>
      </c>
      <c r="J37" s="485">
        <v>200000</v>
      </c>
      <c r="K37" s="485">
        <v>0</v>
      </c>
      <c r="L37" s="485">
        <v>200000</v>
      </c>
      <c r="M37" s="485">
        <v>142397.9</v>
      </c>
      <c r="N37" s="485">
        <v>142397.9</v>
      </c>
      <c r="O37" s="485"/>
      <c r="P37" s="449">
        <f>+L37-O37</f>
        <v>200000</v>
      </c>
    </row>
    <row r="38" spans="1:16" ht="17.100000000000001" customHeight="1" x14ac:dyDescent="0.2">
      <c r="A38" s="446" t="str">
        <f t="shared" si="0"/>
        <v>174239-3-142</v>
      </c>
      <c r="B38" s="479">
        <v>174239</v>
      </c>
      <c r="C38" s="480">
        <v>3</v>
      </c>
      <c r="D38" s="481" t="s">
        <v>8</v>
      </c>
      <c r="E38" s="480">
        <v>142</v>
      </c>
      <c r="F38" s="486">
        <v>5692518</v>
      </c>
      <c r="G38" s="486">
        <v>0</v>
      </c>
      <c r="H38" s="486">
        <v>5692518</v>
      </c>
      <c r="I38" s="486">
        <v>0</v>
      </c>
      <c r="J38" s="486">
        <v>5692518</v>
      </c>
      <c r="K38" s="486">
        <v>0</v>
      </c>
      <c r="L38" s="486">
        <v>5692518</v>
      </c>
      <c r="M38" s="486">
        <v>4754729.99</v>
      </c>
      <c r="N38" s="486">
        <v>4754729.99</v>
      </c>
      <c r="O38" s="486"/>
      <c r="P38" s="448">
        <f t="shared" si="1"/>
        <v>5692518</v>
      </c>
    </row>
    <row r="39" spans="1:16" ht="17.100000000000001" customHeight="1" x14ac:dyDescent="0.2">
      <c r="A39" s="446" t="str">
        <f t="shared" si="0"/>
        <v>174239-4-142</v>
      </c>
      <c r="B39" s="475">
        <v>174239</v>
      </c>
      <c r="C39" s="476">
        <v>4</v>
      </c>
      <c r="D39" s="477" t="s">
        <v>7</v>
      </c>
      <c r="E39" s="476">
        <v>142</v>
      </c>
      <c r="F39" s="485">
        <v>1000000</v>
      </c>
      <c r="G39" s="485">
        <v>0</v>
      </c>
      <c r="H39" s="485">
        <v>1000000</v>
      </c>
      <c r="I39" s="485">
        <v>0</v>
      </c>
      <c r="J39" s="485">
        <v>1000000</v>
      </c>
      <c r="K39" s="485">
        <v>0</v>
      </c>
      <c r="L39" s="485">
        <v>1000000</v>
      </c>
      <c r="M39" s="485">
        <v>986051.45</v>
      </c>
      <c r="N39" s="485">
        <v>986051.45</v>
      </c>
      <c r="O39" s="485"/>
      <c r="P39" s="449">
        <f>+L39-O39</f>
        <v>1000000</v>
      </c>
    </row>
    <row r="40" spans="1:16" ht="17.100000000000001" customHeight="1" x14ac:dyDescent="0.2">
      <c r="A40" s="446" t="str">
        <f t="shared" si="0"/>
        <v>174239-3-150</v>
      </c>
      <c r="B40" s="479">
        <v>174239</v>
      </c>
      <c r="C40" s="480">
        <v>3</v>
      </c>
      <c r="D40" s="481" t="s">
        <v>8</v>
      </c>
      <c r="E40" s="480">
        <v>150</v>
      </c>
      <c r="F40" s="486">
        <v>1807482</v>
      </c>
      <c r="G40" s="486">
        <v>0</v>
      </c>
      <c r="H40" s="486">
        <v>1807482</v>
      </c>
      <c r="I40" s="486">
        <v>0</v>
      </c>
      <c r="J40" s="486">
        <v>1807482</v>
      </c>
      <c r="K40" s="486">
        <v>0</v>
      </c>
      <c r="L40" s="486">
        <v>1807482</v>
      </c>
      <c r="M40" s="486">
        <v>1599470.14</v>
      </c>
      <c r="N40" s="486">
        <v>1599470.14</v>
      </c>
      <c r="O40" s="486"/>
      <c r="P40" s="448">
        <f t="shared" si="1"/>
        <v>1807482</v>
      </c>
    </row>
    <row r="41" spans="1:16" ht="17.100000000000001" customHeight="1" x14ac:dyDescent="0.2">
      <c r="A41" s="446" t="str">
        <f t="shared" si="0"/>
        <v>174240-3-142</v>
      </c>
      <c r="B41" s="475">
        <v>174240</v>
      </c>
      <c r="C41" s="476">
        <v>3</v>
      </c>
      <c r="D41" s="477" t="s">
        <v>8</v>
      </c>
      <c r="E41" s="476">
        <v>142</v>
      </c>
      <c r="F41" s="485">
        <v>1408632</v>
      </c>
      <c r="G41" s="485">
        <v>0</v>
      </c>
      <c r="H41" s="485">
        <v>1408632</v>
      </c>
      <c r="I41" s="485">
        <v>0</v>
      </c>
      <c r="J41" s="485">
        <v>1408632</v>
      </c>
      <c r="K41" s="485">
        <v>0</v>
      </c>
      <c r="L41" s="485">
        <v>1408632</v>
      </c>
      <c r="M41" s="485">
        <v>1280937.52</v>
      </c>
      <c r="N41" s="485">
        <v>1280937.52</v>
      </c>
      <c r="O41" s="485"/>
      <c r="P41" s="449">
        <f>+L41-O41</f>
        <v>1408632</v>
      </c>
    </row>
    <row r="42" spans="1:16" ht="17.100000000000001" customHeight="1" x14ac:dyDescent="0.2">
      <c r="A42" s="446" t="str">
        <f t="shared" ref="A42:A61" si="2">CONCATENATE(B42,"-",C42,"-",E42)</f>
        <v>174240-4-142</v>
      </c>
      <c r="B42" s="479">
        <v>174240</v>
      </c>
      <c r="C42" s="480">
        <v>4</v>
      </c>
      <c r="D42" s="481" t="s">
        <v>7</v>
      </c>
      <c r="E42" s="480">
        <v>142</v>
      </c>
      <c r="F42" s="486">
        <v>91368</v>
      </c>
      <c r="G42" s="486">
        <v>0</v>
      </c>
      <c r="H42" s="486">
        <v>91368</v>
      </c>
      <c r="I42" s="486">
        <v>0</v>
      </c>
      <c r="J42" s="486">
        <v>91368</v>
      </c>
      <c r="K42" s="486">
        <v>0</v>
      </c>
      <c r="L42" s="486">
        <v>91368</v>
      </c>
      <c r="M42" s="486">
        <v>91368</v>
      </c>
      <c r="N42" s="486">
        <v>91368</v>
      </c>
      <c r="O42" s="486"/>
      <c r="P42" s="448">
        <f t="shared" si="1"/>
        <v>91368</v>
      </c>
    </row>
    <row r="43" spans="1:16" ht="17.100000000000001" customHeight="1" x14ac:dyDescent="0.2">
      <c r="A43" s="446" t="str">
        <f t="shared" si="2"/>
        <v>174241-3-142</v>
      </c>
      <c r="B43" s="475">
        <v>174241</v>
      </c>
      <c r="C43" s="476">
        <v>3</v>
      </c>
      <c r="D43" s="477" t="s">
        <v>8</v>
      </c>
      <c r="E43" s="476">
        <v>142</v>
      </c>
      <c r="F43" s="485">
        <v>1999999</v>
      </c>
      <c r="G43" s="485">
        <v>0</v>
      </c>
      <c r="H43" s="485">
        <v>1999999</v>
      </c>
      <c r="I43" s="485">
        <v>0</v>
      </c>
      <c r="J43" s="485">
        <v>1999999</v>
      </c>
      <c r="K43" s="485">
        <v>0</v>
      </c>
      <c r="L43" s="485">
        <v>1999999</v>
      </c>
      <c r="M43" s="485">
        <v>1026861.18</v>
      </c>
      <c r="N43" s="485">
        <v>1026861.18</v>
      </c>
      <c r="O43" s="485"/>
      <c r="P43" s="449">
        <f>+L43-O43</f>
        <v>1999999</v>
      </c>
    </row>
    <row r="44" spans="1:16" ht="17.100000000000001" customHeight="1" x14ac:dyDescent="0.2">
      <c r="A44" s="446" t="str">
        <f t="shared" si="2"/>
        <v>174241-4-142</v>
      </c>
      <c r="B44" s="479">
        <v>174241</v>
      </c>
      <c r="C44" s="480">
        <v>4</v>
      </c>
      <c r="D44" s="481" t="s">
        <v>7</v>
      </c>
      <c r="E44" s="480">
        <v>142</v>
      </c>
      <c r="F44" s="486">
        <v>1000000</v>
      </c>
      <c r="G44" s="486">
        <v>0</v>
      </c>
      <c r="H44" s="486">
        <v>1000000</v>
      </c>
      <c r="I44" s="486">
        <v>0</v>
      </c>
      <c r="J44" s="486">
        <v>1000000</v>
      </c>
      <c r="K44" s="486">
        <v>0</v>
      </c>
      <c r="L44" s="486">
        <v>1000000</v>
      </c>
      <c r="M44" s="486">
        <v>779485</v>
      </c>
      <c r="N44" s="486">
        <v>779485</v>
      </c>
      <c r="O44" s="486"/>
      <c r="P44" s="448">
        <f t="shared" si="1"/>
        <v>1000000</v>
      </c>
    </row>
    <row r="45" spans="1:16" ht="17.100000000000001" customHeight="1" x14ac:dyDescent="0.2">
      <c r="A45" s="446" t="str">
        <f t="shared" si="2"/>
        <v>174242-3-142</v>
      </c>
      <c r="B45" s="475">
        <v>174242</v>
      </c>
      <c r="C45" s="476">
        <v>3</v>
      </c>
      <c r="D45" s="477" t="s">
        <v>8</v>
      </c>
      <c r="E45" s="476">
        <v>142</v>
      </c>
      <c r="F45" s="485">
        <v>1490000</v>
      </c>
      <c r="G45" s="485">
        <v>0</v>
      </c>
      <c r="H45" s="485">
        <v>1490000</v>
      </c>
      <c r="I45" s="485">
        <v>0</v>
      </c>
      <c r="J45" s="485">
        <v>1490000</v>
      </c>
      <c r="K45" s="485">
        <v>0</v>
      </c>
      <c r="L45" s="485">
        <v>1490000</v>
      </c>
      <c r="M45" s="485">
        <v>839806.62</v>
      </c>
      <c r="N45" s="485">
        <v>839806.62</v>
      </c>
      <c r="O45" s="485"/>
      <c r="P45" s="449">
        <f>+L45-O45</f>
        <v>1490000</v>
      </c>
    </row>
    <row r="46" spans="1:16" ht="17.100000000000001" customHeight="1" x14ac:dyDescent="0.2">
      <c r="A46" s="446" t="str">
        <f t="shared" si="2"/>
        <v>174242-4-142</v>
      </c>
      <c r="B46" s="479">
        <v>174242</v>
      </c>
      <c r="C46" s="480">
        <v>4</v>
      </c>
      <c r="D46" s="481" t="s">
        <v>7</v>
      </c>
      <c r="E46" s="480">
        <v>142</v>
      </c>
      <c r="F46" s="486">
        <v>1700000</v>
      </c>
      <c r="G46" s="486">
        <v>0</v>
      </c>
      <c r="H46" s="486">
        <v>1700000</v>
      </c>
      <c r="I46" s="486">
        <v>0</v>
      </c>
      <c r="J46" s="486">
        <v>1700000</v>
      </c>
      <c r="K46" s="486">
        <v>0</v>
      </c>
      <c r="L46" s="486">
        <v>1700000</v>
      </c>
      <c r="M46" s="486">
        <v>1440191</v>
      </c>
      <c r="N46" s="486">
        <v>1440191</v>
      </c>
      <c r="O46" s="486"/>
      <c r="P46" s="448">
        <f t="shared" si="1"/>
        <v>1700000</v>
      </c>
    </row>
    <row r="47" spans="1:16" ht="17.100000000000001" customHeight="1" x14ac:dyDescent="0.2">
      <c r="A47" s="446" t="str">
        <f t="shared" si="2"/>
        <v>174243-3-142</v>
      </c>
      <c r="B47" s="475">
        <v>174243</v>
      </c>
      <c r="C47" s="476">
        <v>3</v>
      </c>
      <c r="D47" s="477" t="s">
        <v>8</v>
      </c>
      <c r="E47" s="476">
        <v>142</v>
      </c>
      <c r="F47" s="485">
        <v>200000</v>
      </c>
      <c r="G47" s="485">
        <v>0</v>
      </c>
      <c r="H47" s="485">
        <v>200000</v>
      </c>
      <c r="I47" s="485">
        <v>0</v>
      </c>
      <c r="J47" s="485">
        <v>200000</v>
      </c>
      <c r="K47" s="485">
        <v>0</v>
      </c>
      <c r="L47" s="485">
        <v>200000</v>
      </c>
      <c r="M47" s="485">
        <v>165856.98000000001</v>
      </c>
      <c r="N47" s="485">
        <v>165856.98000000001</v>
      </c>
      <c r="O47" s="485"/>
      <c r="P47" s="449">
        <f>+L47-O47</f>
        <v>200000</v>
      </c>
    </row>
    <row r="48" spans="1:16" ht="17.100000000000001" customHeight="1" x14ac:dyDescent="0.2">
      <c r="A48" s="446" t="str">
        <f t="shared" si="2"/>
        <v>174244-3-142</v>
      </c>
      <c r="B48" s="479">
        <v>174244</v>
      </c>
      <c r="C48" s="480">
        <v>3</v>
      </c>
      <c r="D48" s="481" t="s">
        <v>8</v>
      </c>
      <c r="E48" s="480">
        <v>142</v>
      </c>
      <c r="F48" s="486">
        <v>200000</v>
      </c>
      <c r="G48" s="486">
        <v>0</v>
      </c>
      <c r="H48" s="486">
        <v>200000</v>
      </c>
      <c r="I48" s="486">
        <v>0</v>
      </c>
      <c r="J48" s="486">
        <v>200000</v>
      </c>
      <c r="K48" s="486">
        <v>0</v>
      </c>
      <c r="L48" s="486">
        <v>200000</v>
      </c>
      <c r="M48" s="486">
        <v>114988.52</v>
      </c>
      <c r="N48" s="486">
        <v>114988.52</v>
      </c>
      <c r="O48" s="486"/>
      <c r="P48" s="448">
        <f t="shared" si="1"/>
        <v>200000</v>
      </c>
    </row>
    <row r="49" spans="1:17" ht="17.100000000000001" customHeight="1" x14ac:dyDescent="0.2">
      <c r="A49" s="446" t="str">
        <f t="shared" si="2"/>
        <v>174245-3-142</v>
      </c>
      <c r="B49" s="475">
        <v>174245</v>
      </c>
      <c r="C49" s="476">
        <v>3</v>
      </c>
      <c r="D49" s="477" t="s">
        <v>8</v>
      </c>
      <c r="E49" s="476">
        <v>142</v>
      </c>
      <c r="F49" s="485">
        <v>3539578</v>
      </c>
      <c r="G49" s="485">
        <v>0</v>
      </c>
      <c r="H49" s="485">
        <v>3539578</v>
      </c>
      <c r="I49" s="485">
        <v>0</v>
      </c>
      <c r="J49" s="485">
        <v>3539578</v>
      </c>
      <c r="K49" s="485">
        <v>0</v>
      </c>
      <c r="L49" s="485">
        <v>3539578</v>
      </c>
      <c r="M49" s="485">
        <v>2788202.86</v>
      </c>
      <c r="N49" s="485">
        <v>2788202.86</v>
      </c>
      <c r="O49" s="485"/>
      <c r="P49" s="449">
        <f>+L49-O49</f>
        <v>3539578</v>
      </c>
    </row>
    <row r="50" spans="1:17" ht="17.100000000000001" customHeight="1" x14ac:dyDescent="0.2">
      <c r="A50" s="446" t="str">
        <f t="shared" si="2"/>
        <v>174245-4-142</v>
      </c>
      <c r="B50" s="479">
        <v>174245</v>
      </c>
      <c r="C50" s="480">
        <v>4</v>
      </c>
      <c r="D50" s="481" t="s">
        <v>7</v>
      </c>
      <c r="E50" s="480">
        <v>142</v>
      </c>
      <c r="F50" s="486">
        <v>2460422</v>
      </c>
      <c r="G50" s="486">
        <v>0</v>
      </c>
      <c r="H50" s="486">
        <v>2460422</v>
      </c>
      <c r="I50" s="486">
        <v>0</v>
      </c>
      <c r="J50" s="486">
        <v>2460422</v>
      </c>
      <c r="K50" s="486">
        <v>0</v>
      </c>
      <c r="L50" s="486">
        <v>2460422</v>
      </c>
      <c r="M50" s="486">
        <v>2077011</v>
      </c>
      <c r="N50" s="486">
        <v>2077011</v>
      </c>
      <c r="O50" s="486"/>
      <c r="P50" s="448">
        <f t="shared" si="1"/>
        <v>2460422</v>
      </c>
    </row>
    <row r="51" spans="1:17" ht="17.100000000000001" customHeight="1" x14ac:dyDescent="0.2">
      <c r="A51" s="446" t="str">
        <f t="shared" si="2"/>
        <v>174246-3-142</v>
      </c>
      <c r="B51" s="475">
        <v>174246</v>
      </c>
      <c r="C51" s="476">
        <v>3</v>
      </c>
      <c r="D51" s="477" t="s">
        <v>8</v>
      </c>
      <c r="E51" s="476">
        <v>142</v>
      </c>
      <c r="F51" s="485">
        <v>300000</v>
      </c>
      <c r="G51" s="485">
        <v>0</v>
      </c>
      <c r="H51" s="485">
        <v>300000</v>
      </c>
      <c r="I51" s="485">
        <v>0</v>
      </c>
      <c r="J51" s="485">
        <v>300000</v>
      </c>
      <c r="K51" s="485">
        <v>0</v>
      </c>
      <c r="L51" s="485">
        <v>300000</v>
      </c>
      <c r="M51" s="485">
        <v>300000</v>
      </c>
      <c r="N51" s="485">
        <v>300000</v>
      </c>
      <c r="O51" s="485"/>
      <c r="P51" s="449">
        <f>+L51-O51</f>
        <v>300000</v>
      </c>
      <c r="Q51" s="450"/>
    </row>
    <row r="52" spans="1:17" ht="17.100000000000001" customHeight="1" x14ac:dyDescent="0.2">
      <c r="A52" s="446" t="str">
        <f t="shared" si="2"/>
        <v>174247-3-142</v>
      </c>
      <c r="B52" s="479">
        <v>174247</v>
      </c>
      <c r="C52" s="480">
        <v>3</v>
      </c>
      <c r="D52" s="481" t="s">
        <v>8</v>
      </c>
      <c r="E52" s="480">
        <v>142</v>
      </c>
      <c r="F52" s="486">
        <v>275000</v>
      </c>
      <c r="G52" s="486">
        <v>0</v>
      </c>
      <c r="H52" s="486">
        <v>275000</v>
      </c>
      <c r="I52" s="486">
        <v>0</v>
      </c>
      <c r="J52" s="486">
        <v>275000</v>
      </c>
      <c r="K52" s="486">
        <v>0</v>
      </c>
      <c r="L52" s="486">
        <v>275000</v>
      </c>
      <c r="M52" s="486">
        <v>242659.57</v>
      </c>
      <c r="N52" s="486">
        <v>242659.57</v>
      </c>
      <c r="O52" s="486"/>
      <c r="P52" s="448">
        <f t="shared" si="1"/>
        <v>275000</v>
      </c>
    </row>
    <row r="53" spans="1:17" ht="17.100000000000001" customHeight="1" x14ac:dyDescent="0.2">
      <c r="A53" s="446" t="str">
        <f t="shared" si="2"/>
        <v>174248-3-142</v>
      </c>
      <c r="B53" s="475">
        <v>174248</v>
      </c>
      <c r="C53" s="476">
        <v>3</v>
      </c>
      <c r="D53" s="477" t="s">
        <v>8</v>
      </c>
      <c r="E53" s="476">
        <v>142</v>
      </c>
      <c r="F53" s="485">
        <v>2365000</v>
      </c>
      <c r="G53" s="485">
        <v>0</v>
      </c>
      <c r="H53" s="485">
        <v>2365000</v>
      </c>
      <c r="I53" s="485">
        <v>0</v>
      </c>
      <c r="J53" s="485">
        <v>2365000</v>
      </c>
      <c r="K53" s="485">
        <v>0</v>
      </c>
      <c r="L53" s="485">
        <v>2365000</v>
      </c>
      <c r="M53" s="485">
        <v>2365000</v>
      </c>
      <c r="N53" s="485">
        <v>2365000</v>
      </c>
      <c r="O53" s="485"/>
      <c r="P53" s="449">
        <f>+L53-O53</f>
        <v>2365000</v>
      </c>
    </row>
    <row r="54" spans="1:17" ht="17.100000000000001" customHeight="1" x14ac:dyDescent="0.2">
      <c r="A54" s="446" t="str">
        <f t="shared" si="2"/>
        <v>174249-3-142</v>
      </c>
      <c r="B54" s="479">
        <v>174249</v>
      </c>
      <c r="C54" s="480">
        <v>3</v>
      </c>
      <c r="D54" s="481" t="s">
        <v>8</v>
      </c>
      <c r="E54" s="480">
        <v>142</v>
      </c>
      <c r="F54" s="486">
        <v>900000</v>
      </c>
      <c r="G54" s="486">
        <v>0</v>
      </c>
      <c r="H54" s="486">
        <v>900000</v>
      </c>
      <c r="I54" s="486">
        <v>0</v>
      </c>
      <c r="J54" s="486">
        <v>900000</v>
      </c>
      <c r="K54" s="486">
        <v>0</v>
      </c>
      <c r="L54" s="486">
        <v>900000</v>
      </c>
      <c r="M54" s="486">
        <v>836767.19</v>
      </c>
      <c r="N54" s="486">
        <v>836767.19</v>
      </c>
      <c r="O54" s="486"/>
      <c r="P54" s="448">
        <f t="shared" si="1"/>
        <v>900000</v>
      </c>
    </row>
    <row r="55" spans="1:17" ht="17.100000000000001" customHeight="1" x14ac:dyDescent="0.2">
      <c r="A55" s="446" t="str">
        <f t="shared" si="2"/>
        <v>174249-4-142</v>
      </c>
      <c r="B55" s="475">
        <v>174249</v>
      </c>
      <c r="C55" s="476">
        <v>4</v>
      </c>
      <c r="D55" s="477" t="s">
        <v>7</v>
      </c>
      <c r="E55" s="476">
        <v>142</v>
      </c>
      <c r="F55" s="485">
        <v>300000</v>
      </c>
      <c r="G55" s="485">
        <v>0</v>
      </c>
      <c r="H55" s="485">
        <v>300000</v>
      </c>
      <c r="I55" s="485">
        <v>0</v>
      </c>
      <c r="J55" s="485">
        <v>300000</v>
      </c>
      <c r="K55" s="485">
        <v>0</v>
      </c>
      <c r="L55" s="485">
        <v>300000</v>
      </c>
      <c r="M55" s="485">
        <v>11780</v>
      </c>
      <c r="N55" s="485">
        <v>11780</v>
      </c>
      <c r="O55" s="485"/>
      <c r="P55" s="449">
        <f>+L55-O55</f>
        <v>300000</v>
      </c>
    </row>
    <row r="56" spans="1:17" ht="17.100000000000001" customHeight="1" x14ac:dyDescent="0.2">
      <c r="A56" s="446" t="str">
        <f t="shared" si="2"/>
        <v>174250-3-142</v>
      </c>
      <c r="B56" s="479">
        <v>174250</v>
      </c>
      <c r="C56" s="480">
        <v>3</v>
      </c>
      <c r="D56" s="481" t="s">
        <v>8</v>
      </c>
      <c r="E56" s="480">
        <v>142</v>
      </c>
      <c r="F56" s="486">
        <v>1579000</v>
      </c>
      <c r="G56" s="486">
        <v>0</v>
      </c>
      <c r="H56" s="486">
        <v>1579000</v>
      </c>
      <c r="I56" s="486">
        <v>0</v>
      </c>
      <c r="J56" s="486">
        <v>1579000</v>
      </c>
      <c r="K56" s="486">
        <v>0</v>
      </c>
      <c r="L56" s="486">
        <v>1579000</v>
      </c>
      <c r="M56" s="486">
        <v>957507.61</v>
      </c>
      <c r="N56" s="486">
        <v>957507.61</v>
      </c>
      <c r="O56" s="486"/>
      <c r="P56" s="448">
        <f t="shared" si="1"/>
        <v>1579000</v>
      </c>
    </row>
    <row r="57" spans="1:17" ht="17.100000000000001" customHeight="1" x14ac:dyDescent="0.2">
      <c r="A57" s="446" t="str">
        <f t="shared" si="2"/>
        <v>174250-4-142</v>
      </c>
      <c r="B57" s="475">
        <v>174250</v>
      </c>
      <c r="C57" s="476">
        <v>4</v>
      </c>
      <c r="D57" s="477" t="s">
        <v>7</v>
      </c>
      <c r="E57" s="476">
        <v>142</v>
      </c>
      <c r="F57" s="485">
        <v>800000</v>
      </c>
      <c r="G57" s="485">
        <v>0</v>
      </c>
      <c r="H57" s="485">
        <v>800000</v>
      </c>
      <c r="I57" s="485">
        <v>0</v>
      </c>
      <c r="J57" s="485">
        <v>800000</v>
      </c>
      <c r="K57" s="485">
        <v>0</v>
      </c>
      <c r="L57" s="485">
        <v>800000</v>
      </c>
      <c r="M57" s="485">
        <v>791360</v>
      </c>
      <c r="N57" s="485">
        <v>791360</v>
      </c>
      <c r="O57" s="485"/>
      <c r="P57" s="449">
        <f>+L57-O57</f>
        <v>800000</v>
      </c>
    </row>
    <row r="58" spans="1:17" ht="17.100000000000001" customHeight="1" x14ac:dyDescent="0.2">
      <c r="A58" s="446" t="str">
        <f t="shared" si="2"/>
        <v>174251-3-142</v>
      </c>
      <c r="B58" s="479">
        <v>174251</v>
      </c>
      <c r="C58" s="480">
        <v>3</v>
      </c>
      <c r="D58" s="481" t="s">
        <v>8</v>
      </c>
      <c r="E58" s="480">
        <v>142</v>
      </c>
      <c r="F58" s="486">
        <v>200000</v>
      </c>
      <c r="G58" s="486">
        <v>0</v>
      </c>
      <c r="H58" s="486">
        <v>200000</v>
      </c>
      <c r="I58" s="486">
        <v>0</v>
      </c>
      <c r="J58" s="486">
        <v>200000</v>
      </c>
      <c r="K58" s="486">
        <v>0</v>
      </c>
      <c r="L58" s="486">
        <v>200000</v>
      </c>
      <c r="M58" s="486">
        <v>200000</v>
      </c>
      <c r="N58" s="486">
        <v>200000</v>
      </c>
      <c r="O58" s="486"/>
      <c r="P58" s="448">
        <f t="shared" si="1"/>
        <v>200000</v>
      </c>
    </row>
    <row r="59" spans="1:17" ht="17.100000000000001" customHeight="1" x14ac:dyDescent="0.2">
      <c r="A59" s="446" t="str">
        <f t="shared" si="2"/>
        <v>174252-3-142</v>
      </c>
      <c r="B59" s="475">
        <v>174252</v>
      </c>
      <c r="C59" s="476">
        <v>3</v>
      </c>
      <c r="D59" s="477" t="s">
        <v>8</v>
      </c>
      <c r="E59" s="476">
        <v>142</v>
      </c>
      <c r="F59" s="485">
        <v>3400000</v>
      </c>
      <c r="G59" s="485">
        <v>0</v>
      </c>
      <c r="H59" s="485">
        <v>3400000</v>
      </c>
      <c r="I59" s="485">
        <v>0</v>
      </c>
      <c r="J59" s="485">
        <v>3400000</v>
      </c>
      <c r="K59" s="485">
        <v>0</v>
      </c>
      <c r="L59" s="485">
        <v>3400000</v>
      </c>
      <c r="M59" s="485">
        <v>3056860.76</v>
      </c>
      <c r="N59" s="485">
        <v>2556860.7599999998</v>
      </c>
      <c r="O59" s="485">
        <v>500000</v>
      </c>
      <c r="P59" s="449">
        <f>+L59-O59</f>
        <v>2900000</v>
      </c>
    </row>
    <row r="60" spans="1:17" ht="17.100000000000001" customHeight="1" x14ac:dyDescent="0.2">
      <c r="A60" s="446" t="str">
        <f t="shared" si="2"/>
        <v>174253-3-142</v>
      </c>
      <c r="B60" s="479">
        <v>174253</v>
      </c>
      <c r="C60" s="480">
        <v>3</v>
      </c>
      <c r="D60" s="481" t="s">
        <v>8</v>
      </c>
      <c r="E60" s="480">
        <v>142</v>
      </c>
      <c r="F60" s="486">
        <v>350000</v>
      </c>
      <c r="G60" s="486">
        <v>0</v>
      </c>
      <c r="H60" s="486">
        <v>350000</v>
      </c>
      <c r="I60" s="486">
        <v>0</v>
      </c>
      <c r="J60" s="486">
        <v>350000</v>
      </c>
      <c r="K60" s="486">
        <v>0</v>
      </c>
      <c r="L60" s="486">
        <v>350000</v>
      </c>
      <c r="M60" s="486">
        <v>344302.62</v>
      </c>
      <c r="N60" s="486">
        <v>344302.62</v>
      </c>
      <c r="O60" s="486"/>
      <c r="P60" s="448">
        <f t="shared" si="1"/>
        <v>350000</v>
      </c>
    </row>
    <row r="61" spans="1:17" ht="17.100000000000001" customHeight="1" x14ac:dyDescent="0.2">
      <c r="A61" s="446" t="str">
        <f t="shared" si="2"/>
        <v>174254-3-142</v>
      </c>
      <c r="B61" s="475">
        <v>174254</v>
      </c>
      <c r="C61" s="476">
        <v>3</v>
      </c>
      <c r="D61" s="477" t="s">
        <v>8</v>
      </c>
      <c r="E61" s="476">
        <v>142</v>
      </c>
      <c r="F61" s="485">
        <v>980000</v>
      </c>
      <c r="G61" s="485">
        <v>0</v>
      </c>
      <c r="H61" s="485">
        <v>980000</v>
      </c>
      <c r="I61" s="485">
        <v>0</v>
      </c>
      <c r="J61" s="485">
        <v>980000</v>
      </c>
      <c r="K61" s="485">
        <v>0</v>
      </c>
      <c r="L61" s="485">
        <v>980000</v>
      </c>
      <c r="M61" s="485">
        <v>830289.36</v>
      </c>
      <c r="N61" s="485">
        <v>830289.36</v>
      </c>
      <c r="O61" s="485"/>
      <c r="P61" s="449">
        <f>+L61-O61</f>
        <v>980000</v>
      </c>
    </row>
    <row r="62" spans="1:17" ht="17.100000000000001" customHeight="1" x14ac:dyDescent="0.2">
      <c r="A62" s="446" t="str">
        <f t="shared" ref="A62:A93" si="3">CONCATENATE(B62,"-",C62,"-",E62)</f>
        <v>174255-3-142</v>
      </c>
      <c r="B62" s="479">
        <v>174255</v>
      </c>
      <c r="C62" s="480">
        <v>3</v>
      </c>
      <c r="D62" s="481" t="s">
        <v>8</v>
      </c>
      <c r="E62" s="480">
        <v>142</v>
      </c>
      <c r="F62" s="486">
        <v>421000</v>
      </c>
      <c r="G62" s="486">
        <v>0</v>
      </c>
      <c r="H62" s="486">
        <v>421000</v>
      </c>
      <c r="I62" s="486">
        <v>0</v>
      </c>
      <c r="J62" s="486">
        <v>421000</v>
      </c>
      <c r="K62" s="486">
        <v>0</v>
      </c>
      <c r="L62" s="486">
        <v>421000</v>
      </c>
      <c r="M62" s="486">
        <v>421000</v>
      </c>
      <c r="N62" s="486">
        <v>421000</v>
      </c>
      <c r="O62" s="486"/>
      <c r="P62" s="448">
        <f t="shared" si="1"/>
        <v>421000</v>
      </c>
    </row>
    <row r="63" spans="1:17" ht="17.100000000000001" customHeight="1" x14ac:dyDescent="0.2">
      <c r="A63" s="446" t="str">
        <f t="shared" si="3"/>
        <v>174256-3-142</v>
      </c>
      <c r="B63" s="475">
        <v>174256</v>
      </c>
      <c r="C63" s="476">
        <v>3</v>
      </c>
      <c r="D63" s="477" t="s">
        <v>8</v>
      </c>
      <c r="E63" s="476">
        <v>142</v>
      </c>
      <c r="F63" s="485">
        <v>300000</v>
      </c>
      <c r="G63" s="485">
        <v>0</v>
      </c>
      <c r="H63" s="485">
        <v>300000</v>
      </c>
      <c r="I63" s="485">
        <v>0</v>
      </c>
      <c r="J63" s="485">
        <v>300000</v>
      </c>
      <c r="K63" s="485">
        <v>0</v>
      </c>
      <c r="L63" s="485">
        <v>300000</v>
      </c>
      <c r="M63" s="485">
        <v>241953.01</v>
      </c>
      <c r="N63" s="485">
        <v>241953.01</v>
      </c>
      <c r="O63" s="485"/>
      <c r="P63" s="449">
        <f>+L63-O63</f>
        <v>300000</v>
      </c>
    </row>
    <row r="64" spans="1:17" ht="17.100000000000001" customHeight="1" x14ac:dyDescent="0.2">
      <c r="A64" s="446" t="str">
        <f t="shared" si="3"/>
        <v>174257-3-142</v>
      </c>
      <c r="B64" s="479">
        <v>174257</v>
      </c>
      <c r="C64" s="480">
        <v>3</v>
      </c>
      <c r="D64" s="481" t="s">
        <v>8</v>
      </c>
      <c r="E64" s="480">
        <v>142</v>
      </c>
      <c r="F64" s="486">
        <v>3913610</v>
      </c>
      <c r="G64" s="486">
        <v>0</v>
      </c>
      <c r="H64" s="486">
        <v>3913610</v>
      </c>
      <c r="I64" s="486">
        <v>0</v>
      </c>
      <c r="J64" s="486">
        <v>3913610</v>
      </c>
      <c r="K64" s="486">
        <v>0</v>
      </c>
      <c r="L64" s="486">
        <v>3913610</v>
      </c>
      <c r="M64" s="486">
        <v>3795549.59</v>
      </c>
      <c r="N64" s="486">
        <v>3795549.59</v>
      </c>
      <c r="O64" s="486"/>
      <c r="P64" s="448">
        <f t="shared" si="1"/>
        <v>3913610</v>
      </c>
    </row>
    <row r="65" spans="1:16" ht="17.100000000000001" customHeight="1" x14ac:dyDescent="0.2">
      <c r="A65" s="446" t="str">
        <f t="shared" si="3"/>
        <v>174257-4-142</v>
      </c>
      <c r="B65" s="475">
        <v>174257</v>
      </c>
      <c r="C65" s="476">
        <v>4</v>
      </c>
      <c r="D65" s="477" t="s">
        <v>7</v>
      </c>
      <c r="E65" s="476">
        <v>142</v>
      </c>
      <c r="F65" s="485">
        <v>197500</v>
      </c>
      <c r="G65" s="485">
        <v>0</v>
      </c>
      <c r="H65" s="485">
        <v>197500</v>
      </c>
      <c r="I65" s="485">
        <v>0</v>
      </c>
      <c r="J65" s="485">
        <v>197500</v>
      </c>
      <c r="K65" s="485">
        <v>0</v>
      </c>
      <c r="L65" s="485">
        <v>197500</v>
      </c>
      <c r="M65" s="485">
        <v>197500</v>
      </c>
      <c r="N65" s="485">
        <v>197500</v>
      </c>
      <c r="O65" s="485"/>
      <c r="P65" s="449">
        <f>+L65-O65</f>
        <v>197500</v>
      </c>
    </row>
    <row r="66" spans="1:16" ht="17.100000000000001" customHeight="1" x14ac:dyDescent="0.2">
      <c r="A66" s="446" t="str">
        <f t="shared" si="3"/>
        <v>174258-3-142</v>
      </c>
      <c r="B66" s="479">
        <v>174258</v>
      </c>
      <c r="C66" s="480">
        <v>3</v>
      </c>
      <c r="D66" s="481" t="s">
        <v>8</v>
      </c>
      <c r="E66" s="480">
        <v>142</v>
      </c>
      <c r="F66" s="486">
        <v>1800000</v>
      </c>
      <c r="G66" s="486">
        <v>0</v>
      </c>
      <c r="H66" s="486">
        <v>1800000</v>
      </c>
      <c r="I66" s="486">
        <v>0</v>
      </c>
      <c r="J66" s="486">
        <v>1800000</v>
      </c>
      <c r="K66" s="486">
        <v>0</v>
      </c>
      <c r="L66" s="486">
        <v>1800000</v>
      </c>
      <c r="M66" s="486">
        <v>1678834.61</v>
      </c>
      <c r="N66" s="486">
        <v>1678834.61</v>
      </c>
      <c r="O66" s="486"/>
      <c r="P66" s="448">
        <f t="shared" si="1"/>
        <v>1800000</v>
      </c>
    </row>
    <row r="67" spans="1:16" ht="17.100000000000001" customHeight="1" x14ac:dyDescent="0.2">
      <c r="A67" s="446" t="str">
        <f t="shared" si="3"/>
        <v>174258-4-142</v>
      </c>
      <c r="B67" s="475">
        <v>174258</v>
      </c>
      <c r="C67" s="476">
        <v>4</v>
      </c>
      <c r="D67" s="477" t="s">
        <v>7</v>
      </c>
      <c r="E67" s="476">
        <v>142</v>
      </c>
      <c r="F67" s="485">
        <v>1400000</v>
      </c>
      <c r="G67" s="485">
        <v>0</v>
      </c>
      <c r="H67" s="485">
        <v>1400000</v>
      </c>
      <c r="I67" s="485">
        <v>0</v>
      </c>
      <c r="J67" s="485">
        <v>1400000</v>
      </c>
      <c r="K67" s="485">
        <v>0</v>
      </c>
      <c r="L67" s="485">
        <v>1400000</v>
      </c>
      <c r="M67" s="485">
        <v>1363076.29</v>
      </c>
      <c r="N67" s="485">
        <v>1363076.29</v>
      </c>
      <c r="O67" s="485"/>
      <c r="P67" s="449">
        <f>+L67-O67</f>
        <v>1400000</v>
      </c>
    </row>
    <row r="68" spans="1:16" ht="17.100000000000001" customHeight="1" x14ac:dyDescent="0.2">
      <c r="A68" s="446" t="str">
        <f t="shared" si="3"/>
        <v>174259-3-142</v>
      </c>
      <c r="B68" s="479">
        <v>174259</v>
      </c>
      <c r="C68" s="480">
        <v>3</v>
      </c>
      <c r="D68" s="481" t="s">
        <v>8</v>
      </c>
      <c r="E68" s="480">
        <v>142</v>
      </c>
      <c r="F68" s="486">
        <v>150000</v>
      </c>
      <c r="G68" s="486">
        <v>0</v>
      </c>
      <c r="H68" s="486">
        <v>150000</v>
      </c>
      <c r="I68" s="486">
        <v>0</v>
      </c>
      <c r="J68" s="486">
        <v>150000</v>
      </c>
      <c r="K68" s="486">
        <v>0</v>
      </c>
      <c r="L68" s="486">
        <v>150000</v>
      </c>
      <c r="M68" s="486">
        <v>150000</v>
      </c>
      <c r="N68" s="486">
        <v>150000</v>
      </c>
      <c r="O68" s="486"/>
      <c r="P68" s="448">
        <f t="shared" si="1"/>
        <v>150000</v>
      </c>
    </row>
    <row r="69" spans="1:16" ht="17.100000000000001" customHeight="1" x14ac:dyDescent="0.2">
      <c r="A69" s="446" t="str">
        <f t="shared" si="3"/>
        <v>174260-3-142</v>
      </c>
      <c r="B69" s="475">
        <v>174260</v>
      </c>
      <c r="C69" s="476">
        <v>3</v>
      </c>
      <c r="D69" s="477" t="s">
        <v>8</v>
      </c>
      <c r="E69" s="476">
        <v>142</v>
      </c>
      <c r="F69" s="485">
        <v>1685000</v>
      </c>
      <c r="G69" s="485">
        <v>0</v>
      </c>
      <c r="H69" s="485">
        <v>1685000</v>
      </c>
      <c r="I69" s="485">
        <v>0</v>
      </c>
      <c r="J69" s="485">
        <v>1685000</v>
      </c>
      <c r="K69" s="485">
        <v>0</v>
      </c>
      <c r="L69" s="485">
        <v>1685000</v>
      </c>
      <c r="M69" s="485">
        <v>1502407.91</v>
      </c>
      <c r="N69" s="485">
        <v>1502407.91</v>
      </c>
      <c r="O69" s="485"/>
      <c r="P69" s="449">
        <f>+L69-O69</f>
        <v>1685000</v>
      </c>
    </row>
    <row r="70" spans="1:16" ht="17.100000000000001" customHeight="1" x14ac:dyDescent="0.2">
      <c r="A70" s="446" t="str">
        <f t="shared" si="3"/>
        <v>174261-3-142</v>
      </c>
      <c r="B70" s="479">
        <v>174261</v>
      </c>
      <c r="C70" s="480">
        <v>3</v>
      </c>
      <c r="D70" s="481" t="s">
        <v>8</v>
      </c>
      <c r="E70" s="480">
        <v>142</v>
      </c>
      <c r="F70" s="486">
        <v>16000000</v>
      </c>
      <c r="G70" s="486">
        <v>0</v>
      </c>
      <c r="H70" s="486">
        <v>16000000</v>
      </c>
      <c r="I70" s="486">
        <v>0</v>
      </c>
      <c r="J70" s="486">
        <v>16000000</v>
      </c>
      <c r="K70" s="486">
        <v>0</v>
      </c>
      <c r="L70" s="486">
        <v>16000000</v>
      </c>
      <c r="M70" s="486">
        <v>10268056.310000001</v>
      </c>
      <c r="N70" s="486">
        <v>10268056.310000001</v>
      </c>
      <c r="O70" s="486"/>
      <c r="P70" s="448">
        <f t="shared" si="1"/>
        <v>16000000</v>
      </c>
    </row>
    <row r="71" spans="1:16" ht="17.100000000000001" customHeight="1" x14ac:dyDescent="0.2">
      <c r="A71" s="446" t="str">
        <f t="shared" si="3"/>
        <v>174262-3-142</v>
      </c>
      <c r="B71" s="475">
        <v>174262</v>
      </c>
      <c r="C71" s="476">
        <v>3</v>
      </c>
      <c r="D71" s="477" t="s">
        <v>8</v>
      </c>
      <c r="E71" s="476">
        <v>142</v>
      </c>
      <c r="F71" s="485">
        <v>2126000</v>
      </c>
      <c r="G71" s="485">
        <v>0</v>
      </c>
      <c r="H71" s="485">
        <v>2126000</v>
      </c>
      <c r="I71" s="485">
        <v>0</v>
      </c>
      <c r="J71" s="485">
        <v>2126000</v>
      </c>
      <c r="K71" s="485">
        <v>0</v>
      </c>
      <c r="L71" s="485">
        <v>2126000</v>
      </c>
      <c r="M71" s="485">
        <v>2111737.34</v>
      </c>
      <c r="N71" s="485">
        <v>2111737.34</v>
      </c>
      <c r="O71" s="485"/>
      <c r="P71" s="449">
        <f>+L71-O71</f>
        <v>2126000</v>
      </c>
    </row>
    <row r="72" spans="1:16" ht="17.100000000000001" customHeight="1" x14ac:dyDescent="0.2">
      <c r="A72" s="446" t="str">
        <f t="shared" si="3"/>
        <v>174262-4-142</v>
      </c>
      <c r="B72" s="479">
        <v>174262</v>
      </c>
      <c r="C72" s="480">
        <v>4</v>
      </c>
      <c r="D72" s="481" t="s">
        <v>7</v>
      </c>
      <c r="E72" s="480">
        <v>142</v>
      </c>
      <c r="F72" s="486">
        <v>495000</v>
      </c>
      <c r="G72" s="486">
        <v>0</v>
      </c>
      <c r="H72" s="486">
        <v>495000</v>
      </c>
      <c r="I72" s="486">
        <v>0</v>
      </c>
      <c r="J72" s="486">
        <v>495000</v>
      </c>
      <c r="K72" s="486">
        <v>0</v>
      </c>
      <c r="L72" s="486">
        <v>495000</v>
      </c>
      <c r="M72" s="486">
        <v>495000</v>
      </c>
      <c r="N72" s="486">
        <v>495000</v>
      </c>
      <c r="O72" s="486"/>
      <c r="P72" s="448">
        <f t="shared" si="1"/>
        <v>495000</v>
      </c>
    </row>
    <row r="73" spans="1:16" ht="17.100000000000001" customHeight="1" x14ac:dyDescent="0.2">
      <c r="A73" s="446" t="str">
        <f t="shared" si="3"/>
        <v>174263-3-142</v>
      </c>
      <c r="B73" s="475">
        <v>174263</v>
      </c>
      <c r="C73" s="476">
        <v>3</v>
      </c>
      <c r="D73" s="477" t="s">
        <v>8</v>
      </c>
      <c r="E73" s="476">
        <v>142</v>
      </c>
      <c r="F73" s="485">
        <v>700000</v>
      </c>
      <c r="G73" s="485">
        <v>0</v>
      </c>
      <c r="H73" s="485">
        <v>700000</v>
      </c>
      <c r="I73" s="485">
        <v>0</v>
      </c>
      <c r="J73" s="485">
        <v>700000</v>
      </c>
      <c r="K73" s="485">
        <v>0</v>
      </c>
      <c r="L73" s="485">
        <v>700000</v>
      </c>
      <c r="M73" s="485">
        <v>668794.65</v>
      </c>
      <c r="N73" s="485">
        <v>668794.65</v>
      </c>
      <c r="O73" s="485"/>
      <c r="P73" s="449">
        <f>+L73-O73</f>
        <v>700000</v>
      </c>
    </row>
    <row r="74" spans="1:16" ht="17.100000000000001" customHeight="1" x14ac:dyDescent="0.2">
      <c r="A74" s="446" t="str">
        <f t="shared" si="3"/>
        <v>174263-4-142</v>
      </c>
      <c r="B74" s="479">
        <v>174263</v>
      </c>
      <c r="C74" s="480">
        <v>4</v>
      </c>
      <c r="D74" s="481" t="s">
        <v>7</v>
      </c>
      <c r="E74" s="480">
        <v>142</v>
      </c>
      <c r="F74" s="486">
        <v>100000</v>
      </c>
      <c r="G74" s="486">
        <v>0</v>
      </c>
      <c r="H74" s="486">
        <v>100000</v>
      </c>
      <c r="I74" s="486">
        <v>0</v>
      </c>
      <c r="J74" s="486">
        <v>100000</v>
      </c>
      <c r="K74" s="486">
        <v>0</v>
      </c>
      <c r="L74" s="486">
        <v>100000</v>
      </c>
      <c r="M74" s="486">
        <v>100000</v>
      </c>
      <c r="N74" s="486">
        <v>100000</v>
      </c>
      <c r="O74" s="486"/>
      <c r="P74" s="448">
        <f t="shared" si="1"/>
        <v>100000</v>
      </c>
    </row>
    <row r="75" spans="1:16" ht="17.100000000000001" customHeight="1" x14ac:dyDescent="0.2">
      <c r="A75" s="446" t="str">
        <f t="shared" si="3"/>
        <v>174264-3-142</v>
      </c>
      <c r="B75" s="475">
        <v>174264</v>
      </c>
      <c r="C75" s="476">
        <v>3</v>
      </c>
      <c r="D75" s="477" t="s">
        <v>8</v>
      </c>
      <c r="E75" s="476">
        <v>142</v>
      </c>
      <c r="F75" s="485">
        <v>3500000</v>
      </c>
      <c r="G75" s="485">
        <v>0</v>
      </c>
      <c r="H75" s="485">
        <v>3500000</v>
      </c>
      <c r="I75" s="485">
        <v>0</v>
      </c>
      <c r="J75" s="485">
        <v>3500000</v>
      </c>
      <c r="K75" s="485">
        <v>0</v>
      </c>
      <c r="L75" s="485">
        <v>3500000</v>
      </c>
      <c r="M75" s="485">
        <v>3188075.56</v>
      </c>
      <c r="N75" s="485">
        <v>3188075.56</v>
      </c>
      <c r="O75" s="485"/>
      <c r="P75" s="449">
        <f>+L75-O75</f>
        <v>3500000</v>
      </c>
    </row>
    <row r="76" spans="1:16" ht="17.100000000000001" customHeight="1" x14ac:dyDescent="0.2">
      <c r="A76" s="446" t="str">
        <f t="shared" si="3"/>
        <v>174264-4-142</v>
      </c>
      <c r="B76" s="479">
        <v>174264</v>
      </c>
      <c r="C76" s="480">
        <v>4</v>
      </c>
      <c r="D76" s="481" t="s">
        <v>7</v>
      </c>
      <c r="E76" s="480">
        <v>142</v>
      </c>
      <c r="F76" s="486">
        <v>1400000</v>
      </c>
      <c r="G76" s="486">
        <v>0</v>
      </c>
      <c r="H76" s="486">
        <v>1400000</v>
      </c>
      <c r="I76" s="486">
        <v>0</v>
      </c>
      <c r="J76" s="486">
        <v>1400000</v>
      </c>
      <c r="K76" s="486">
        <v>0</v>
      </c>
      <c r="L76" s="486">
        <v>1400000</v>
      </c>
      <c r="M76" s="486">
        <v>1351309.89</v>
      </c>
      <c r="N76" s="486">
        <v>1351309.89</v>
      </c>
      <c r="O76" s="486"/>
      <c r="P76" s="448">
        <f t="shared" si="1"/>
        <v>1400000</v>
      </c>
    </row>
    <row r="77" spans="1:16" ht="17.100000000000001" customHeight="1" x14ac:dyDescent="0.2">
      <c r="A77" s="446" t="str">
        <f t="shared" si="3"/>
        <v>174265-3-142</v>
      </c>
      <c r="B77" s="475">
        <v>174265</v>
      </c>
      <c r="C77" s="476">
        <v>3</v>
      </c>
      <c r="D77" s="477" t="s">
        <v>8</v>
      </c>
      <c r="E77" s="476">
        <v>142</v>
      </c>
      <c r="F77" s="485">
        <v>695000</v>
      </c>
      <c r="G77" s="485">
        <v>0</v>
      </c>
      <c r="H77" s="485">
        <v>695000</v>
      </c>
      <c r="I77" s="485">
        <v>0</v>
      </c>
      <c r="J77" s="485">
        <v>695000</v>
      </c>
      <c r="K77" s="485">
        <v>0</v>
      </c>
      <c r="L77" s="485">
        <v>695000</v>
      </c>
      <c r="M77" s="485">
        <v>586483.27</v>
      </c>
      <c r="N77" s="485">
        <v>586483.27</v>
      </c>
      <c r="O77" s="485"/>
      <c r="P77" s="449">
        <f>+L77-O77</f>
        <v>695000</v>
      </c>
    </row>
    <row r="78" spans="1:16" ht="17.100000000000001" customHeight="1" x14ac:dyDescent="0.2">
      <c r="A78" s="446" t="str">
        <f t="shared" si="3"/>
        <v>174266-3-142</v>
      </c>
      <c r="B78" s="479">
        <v>174266</v>
      </c>
      <c r="C78" s="480">
        <v>3</v>
      </c>
      <c r="D78" s="481" t="s">
        <v>8</v>
      </c>
      <c r="E78" s="480">
        <v>142</v>
      </c>
      <c r="F78" s="486">
        <v>400000</v>
      </c>
      <c r="G78" s="486">
        <v>0</v>
      </c>
      <c r="H78" s="486">
        <v>400000</v>
      </c>
      <c r="I78" s="486">
        <v>0</v>
      </c>
      <c r="J78" s="486">
        <v>400000</v>
      </c>
      <c r="K78" s="486">
        <v>0</v>
      </c>
      <c r="L78" s="486">
        <v>400000</v>
      </c>
      <c r="M78" s="486">
        <v>400000</v>
      </c>
      <c r="N78" s="486">
        <v>400000</v>
      </c>
      <c r="O78" s="486"/>
      <c r="P78" s="448">
        <f t="shared" si="1"/>
        <v>400000</v>
      </c>
    </row>
    <row r="79" spans="1:16" ht="17.100000000000001" customHeight="1" x14ac:dyDescent="0.2">
      <c r="A79" s="446" t="str">
        <f t="shared" si="3"/>
        <v>174267-3-142</v>
      </c>
      <c r="B79" s="475">
        <v>174267</v>
      </c>
      <c r="C79" s="476">
        <v>3</v>
      </c>
      <c r="D79" s="477" t="s">
        <v>8</v>
      </c>
      <c r="E79" s="476">
        <v>142</v>
      </c>
      <c r="F79" s="485">
        <v>2007890</v>
      </c>
      <c r="G79" s="485">
        <v>0</v>
      </c>
      <c r="H79" s="485">
        <v>2007890</v>
      </c>
      <c r="I79" s="485">
        <v>0</v>
      </c>
      <c r="J79" s="485">
        <v>2007890</v>
      </c>
      <c r="K79" s="485">
        <v>0</v>
      </c>
      <c r="L79" s="485">
        <v>2007890</v>
      </c>
      <c r="M79" s="485">
        <v>1994056.23</v>
      </c>
      <c r="N79" s="485">
        <v>1994056.23</v>
      </c>
      <c r="O79" s="485"/>
      <c r="P79" s="449">
        <f>+L79-O79</f>
        <v>2007890</v>
      </c>
    </row>
    <row r="80" spans="1:16" ht="17.100000000000001" customHeight="1" x14ac:dyDescent="0.2">
      <c r="A80" s="446" t="str">
        <f t="shared" si="3"/>
        <v>174267-4-142</v>
      </c>
      <c r="B80" s="479">
        <v>174267</v>
      </c>
      <c r="C80" s="480">
        <v>4</v>
      </c>
      <c r="D80" s="481" t="s">
        <v>7</v>
      </c>
      <c r="E80" s="480">
        <v>142</v>
      </c>
      <c r="F80" s="486">
        <v>110000</v>
      </c>
      <c r="G80" s="486">
        <v>0</v>
      </c>
      <c r="H80" s="486">
        <v>110000</v>
      </c>
      <c r="I80" s="486">
        <v>0</v>
      </c>
      <c r="J80" s="486">
        <v>110000</v>
      </c>
      <c r="K80" s="486">
        <v>0</v>
      </c>
      <c r="L80" s="486">
        <v>110000</v>
      </c>
      <c r="M80" s="486">
        <v>110000</v>
      </c>
      <c r="N80" s="486">
        <v>110000</v>
      </c>
      <c r="O80" s="486"/>
      <c r="P80" s="448">
        <f t="shared" si="1"/>
        <v>110000</v>
      </c>
    </row>
    <row r="81" spans="1:16" ht="17.100000000000001" customHeight="1" x14ac:dyDescent="0.2">
      <c r="A81" s="446" t="str">
        <f t="shared" si="3"/>
        <v>174268-3-142</v>
      </c>
      <c r="B81" s="475">
        <v>174268</v>
      </c>
      <c r="C81" s="476">
        <v>3</v>
      </c>
      <c r="D81" s="477" t="s">
        <v>8</v>
      </c>
      <c r="E81" s="476">
        <v>142</v>
      </c>
      <c r="F81" s="485">
        <v>800000</v>
      </c>
      <c r="G81" s="485">
        <v>0</v>
      </c>
      <c r="H81" s="485">
        <v>800000</v>
      </c>
      <c r="I81" s="485">
        <v>0</v>
      </c>
      <c r="J81" s="485">
        <v>800000</v>
      </c>
      <c r="K81" s="485">
        <v>0</v>
      </c>
      <c r="L81" s="485">
        <v>800000</v>
      </c>
      <c r="M81" s="485">
        <v>667752.02</v>
      </c>
      <c r="N81" s="485">
        <v>667752.02</v>
      </c>
      <c r="O81" s="485"/>
      <c r="P81" s="449">
        <f>+L81-O81</f>
        <v>800000</v>
      </c>
    </row>
    <row r="82" spans="1:16" ht="17.100000000000001" customHeight="1" x14ac:dyDescent="0.2">
      <c r="A82" s="446" t="str">
        <f t="shared" si="3"/>
        <v>174268-4-142</v>
      </c>
      <c r="B82" s="479">
        <v>174268</v>
      </c>
      <c r="C82" s="480">
        <v>4</v>
      </c>
      <c r="D82" s="481" t="s">
        <v>7</v>
      </c>
      <c r="E82" s="480">
        <v>142</v>
      </c>
      <c r="F82" s="486">
        <v>100000</v>
      </c>
      <c r="G82" s="486">
        <v>0</v>
      </c>
      <c r="H82" s="486">
        <v>100000</v>
      </c>
      <c r="I82" s="486">
        <v>0</v>
      </c>
      <c r="J82" s="486">
        <v>100000</v>
      </c>
      <c r="K82" s="486">
        <v>0</v>
      </c>
      <c r="L82" s="486">
        <v>100000</v>
      </c>
      <c r="M82" s="486">
        <v>100000</v>
      </c>
      <c r="N82" s="486">
        <v>100000</v>
      </c>
      <c r="O82" s="486"/>
      <c r="P82" s="448">
        <f t="shared" si="1"/>
        <v>100000</v>
      </c>
    </row>
    <row r="83" spans="1:16" ht="17.100000000000001" customHeight="1" x14ac:dyDescent="0.2">
      <c r="A83" s="446" t="str">
        <f t="shared" si="3"/>
        <v>174269-3-142</v>
      </c>
      <c r="B83" s="475">
        <v>174269</v>
      </c>
      <c r="C83" s="476">
        <v>3</v>
      </c>
      <c r="D83" s="477" t="s">
        <v>8</v>
      </c>
      <c r="E83" s="476">
        <v>142</v>
      </c>
      <c r="F83" s="485">
        <v>5000000</v>
      </c>
      <c r="G83" s="485">
        <v>0</v>
      </c>
      <c r="H83" s="485">
        <v>5000000</v>
      </c>
      <c r="I83" s="485">
        <v>0</v>
      </c>
      <c r="J83" s="485">
        <v>5000000</v>
      </c>
      <c r="K83" s="485">
        <v>0</v>
      </c>
      <c r="L83" s="485">
        <v>5000000</v>
      </c>
      <c r="M83" s="485">
        <v>4646986.13</v>
      </c>
      <c r="N83" s="485">
        <v>4646986.13</v>
      </c>
      <c r="O83" s="485"/>
      <c r="P83" s="449">
        <f>+L83-O83</f>
        <v>5000000</v>
      </c>
    </row>
    <row r="84" spans="1:16" ht="17.100000000000001" customHeight="1" x14ac:dyDescent="0.2">
      <c r="A84" s="446" t="str">
        <f t="shared" si="3"/>
        <v>174270-3-142</v>
      </c>
      <c r="B84" s="479">
        <v>174270</v>
      </c>
      <c r="C84" s="480">
        <v>3</v>
      </c>
      <c r="D84" s="481" t="s">
        <v>8</v>
      </c>
      <c r="E84" s="480">
        <v>142</v>
      </c>
      <c r="F84" s="486">
        <v>2950000</v>
      </c>
      <c r="G84" s="486">
        <v>0</v>
      </c>
      <c r="H84" s="486">
        <v>2950000</v>
      </c>
      <c r="I84" s="486">
        <v>0</v>
      </c>
      <c r="J84" s="486">
        <v>2950000</v>
      </c>
      <c r="K84" s="486">
        <v>0</v>
      </c>
      <c r="L84" s="486">
        <v>2950000</v>
      </c>
      <c r="M84" s="486">
        <v>2778392.1</v>
      </c>
      <c r="N84" s="486">
        <v>2778392.1</v>
      </c>
      <c r="O84" s="486"/>
      <c r="P84" s="448">
        <f t="shared" si="1"/>
        <v>2950000</v>
      </c>
    </row>
    <row r="85" spans="1:16" ht="17.100000000000001" customHeight="1" x14ac:dyDescent="0.2">
      <c r="A85" s="446" t="str">
        <f t="shared" si="3"/>
        <v>174271-3-142</v>
      </c>
      <c r="B85" s="475">
        <v>174271</v>
      </c>
      <c r="C85" s="476">
        <v>3</v>
      </c>
      <c r="D85" s="477" t="s">
        <v>8</v>
      </c>
      <c r="E85" s="476">
        <v>142</v>
      </c>
      <c r="F85" s="485">
        <v>700000</v>
      </c>
      <c r="G85" s="485">
        <v>0</v>
      </c>
      <c r="H85" s="485">
        <v>700000</v>
      </c>
      <c r="I85" s="485">
        <v>0</v>
      </c>
      <c r="J85" s="485">
        <v>700000</v>
      </c>
      <c r="K85" s="485">
        <v>0</v>
      </c>
      <c r="L85" s="485">
        <v>700000</v>
      </c>
      <c r="M85" s="485">
        <v>590473.74</v>
      </c>
      <c r="N85" s="485">
        <v>590473.74</v>
      </c>
      <c r="O85" s="485"/>
      <c r="P85" s="449">
        <f>+L85-O85</f>
        <v>700000</v>
      </c>
    </row>
    <row r="86" spans="1:16" ht="17.100000000000001" customHeight="1" x14ac:dyDescent="0.2">
      <c r="A86" s="446" t="str">
        <f t="shared" si="3"/>
        <v>174271-4-142</v>
      </c>
      <c r="B86" s="479">
        <v>174271</v>
      </c>
      <c r="C86" s="480">
        <v>4</v>
      </c>
      <c r="D86" s="481" t="s">
        <v>7</v>
      </c>
      <c r="E86" s="480">
        <v>142</v>
      </c>
      <c r="F86" s="486">
        <v>100000</v>
      </c>
      <c r="G86" s="486">
        <v>0</v>
      </c>
      <c r="H86" s="486">
        <v>100000</v>
      </c>
      <c r="I86" s="486">
        <v>0</v>
      </c>
      <c r="J86" s="486">
        <v>100000</v>
      </c>
      <c r="K86" s="486">
        <v>0</v>
      </c>
      <c r="L86" s="486">
        <v>100000</v>
      </c>
      <c r="M86" s="486">
        <v>100000</v>
      </c>
      <c r="N86" s="486">
        <v>100000</v>
      </c>
      <c r="O86" s="486"/>
      <c r="P86" s="448">
        <f t="shared" si="1"/>
        <v>100000</v>
      </c>
    </row>
    <row r="87" spans="1:16" ht="17.100000000000001" customHeight="1" x14ac:dyDescent="0.2">
      <c r="A87" s="446" t="str">
        <f t="shared" si="3"/>
        <v>174272-3-142</v>
      </c>
      <c r="B87" s="475">
        <v>174272</v>
      </c>
      <c r="C87" s="476">
        <v>3</v>
      </c>
      <c r="D87" s="477" t="s">
        <v>8</v>
      </c>
      <c r="E87" s="476">
        <v>142</v>
      </c>
      <c r="F87" s="485">
        <v>1000000</v>
      </c>
      <c r="G87" s="485">
        <v>0</v>
      </c>
      <c r="H87" s="485">
        <v>1000000</v>
      </c>
      <c r="I87" s="485">
        <v>0</v>
      </c>
      <c r="J87" s="485">
        <v>1000000</v>
      </c>
      <c r="K87" s="485">
        <v>0</v>
      </c>
      <c r="L87" s="485">
        <v>1000000</v>
      </c>
      <c r="M87" s="485">
        <v>872036.11</v>
      </c>
      <c r="N87" s="485">
        <v>872036.11</v>
      </c>
      <c r="O87" s="485"/>
      <c r="P87" s="449">
        <f>+L87-O87</f>
        <v>1000000</v>
      </c>
    </row>
    <row r="88" spans="1:16" ht="17.100000000000001" customHeight="1" x14ac:dyDescent="0.2">
      <c r="A88" s="446" t="str">
        <f t="shared" si="3"/>
        <v>174273-3-142</v>
      </c>
      <c r="B88" s="479">
        <v>174273</v>
      </c>
      <c r="C88" s="480">
        <v>3</v>
      </c>
      <c r="D88" s="481" t="s">
        <v>8</v>
      </c>
      <c r="E88" s="480">
        <v>142</v>
      </c>
      <c r="F88" s="486">
        <v>1000000</v>
      </c>
      <c r="G88" s="486">
        <v>0</v>
      </c>
      <c r="H88" s="486">
        <v>1000000</v>
      </c>
      <c r="I88" s="486">
        <v>0</v>
      </c>
      <c r="J88" s="486">
        <v>1000000</v>
      </c>
      <c r="K88" s="486">
        <v>0</v>
      </c>
      <c r="L88" s="486">
        <v>1000000</v>
      </c>
      <c r="M88" s="486">
        <v>0</v>
      </c>
      <c r="N88" s="486">
        <v>0</v>
      </c>
      <c r="O88" s="486"/>
      <c r="P88" s="448">
        <f t="shared" si="1"/>
        <v>1000000</v>
      </c>
    </row>
    <row r="89" spans="1:16" ht="17.100000000000001" customHeight="1" x14ac:dyDescent="0.2">
      <c r="A89" s="446" t="str">
        <f t="shared" si="3"/>
        <v>195063-3-100</v>
      </c>
      <c r="B89" s="475">
        <v>195063</v>
      </c>
      <c r="C89" s="476">
        <v>3</v>
      </c>
      <c r="D89" s="477" t="s">
        <v>8</v>
      </c>
      <c r="E89" s="476">
        <v>100</v>
      </c>
      <c r="F89" s="485">
        <v>1949502</v>
      </c>
      <c r="G89" s="485">
        <v>0</v>
      </c>
      <c r="H89" s="485">
        <v>1949502</v>
      </c>
      <c r="I89" s="485">
        <v>0</v>
      </c>
      <c r="J89" s="485">
        <v>1949502</v>
      </c>
      <c r="K89" s="485">
        <v>0</v>
      </c>
      <c r="L89" s="485">
        <v>1949502</v>
      </c>
      <c r="M89" s="485">
        <v>1651124.08</v>
      </c>
      <c r="N89" s="485">
        <v>1651124.08</v>
      </c>
      <c r="O89" s="485"/>
      <c r="P89" s="449">
        <f>+L89-O89</f>
        <v>1949502</v>
      </c>
    </row>
    <row r="90" spans="1:16" ht="17.100000000000001" customHeight="1" x14ac:dyDescent="0.2">
      <c r="A90" s="446" t="str">
        <f t="shared" si="3"/>
        <v>195065-3-100</v>
      </c>
      <c r="B90" s="479">
        <v>195065</v>
      </c>
      <c r="C90" s="480">
        <v>3</v>
      </c>
      <c r="D90" s="481" t="s">
        <v>8</v>
      </c>
      <c r="E90" s="480">
        <v>100</v>
      </c>
      <c r="F90" s="486">
        <v>233177</v>
      </c>
      <c r="G90" s="486">
        <v>0</v>
      </c>
      <c r="H90" s="486">
        <v>233177</v>
      </c>
      <c r="I90" s="486">
        <v>0</v>
      </c>
      <c r="J90" s="486">
        <v>233177</v>
      </c>
      <c r="K90" s="486">
        <v>0</v>
      </c>
      <c r="L90" s="486">
        <v>233177</v>
      </c>
      <c r="M90" s="486">
        <v>213400.44</v>
      </c>
      <c r="N90" s="486">
        <v>213400.44</v>
      </c>
      <c r="O90" s="486"/>
      <c r="P90" s="451">
        <f t="shared" si="1"/>
        <v>233177</v>
      </c>
    </row>
    <row r="91" spans="1:16" ht="17.100000000000001" customHeight="1" x14ac:dyDescent="0.2">
      <c r="A91" s="446" t="str">
        <f t="shared" si="3"/>
        <v>195067-3-100</v>
      </c>
      <c r="B91" s="475">
        <v>195067</v>
      </c>
      <c r="C91" s="476">
        <v>3</v>
      </c>
      <c r="D91" s="477" t="s">
        <v>8</v>
      </c>
      <c r="E91" s="476">
        <v>100</v>
      </c>
      <c r="F91" s="485">
        <v>17628738</v>
      </c>
      <c r="G91" s="485">
        <v>0</v>
      </c>
      <c r="H91" s="485">
        <v>17628738</v>
      </c>
      <c r="I91" s="485">
        <v>0</v>
      </c>
      <c r="J91" s="485">
        <v>17628738</v>
      </c>
      <c r="K91" s="485">
        <v>0</v>
      </c>
      <c r="L91" s="485">
        <v>17628738</v>
      </c>
      <c r="M91" s="485">
        <v>13924936.98</v>
      </c>
      <c r="N91" s="485">
        <v>13924936.98</v>
      </c>
      <c r="O91" s="485"/>
      <c r="P91" s="452">
        <f>+L91-O91</f>
        <v>17628738</v>
      </c>
    </row>
    <row r="92" spans="1:16" ht="17.100000000000001" customHeight="1" x14ac:dyDescent="0.2">
      <c r="A92" s="446" t="str">
        <f t="shared" si="3"/>
        <v>204816-3-181</v>
      </c>
      <c r="B92" s="479">
        <v>204816</v>
      </c>
      <c r="C92" s="480">
        <v>3</v>
      </c>
      <c r="D92" s="481" t="s">
        <v>8</v>
      </c>
      <c r="E92" s="480">
        <v>181</v>
      </c>
      <c r="F92" s="486">
        <v>800000</v>
      </c>
      <c r="G92" s="486">
        <v>0</v>
      </c>
      <c r="H92" s="486">
        <v>800000</v>
      </c>
      <c r="I92" s="486">
        <v>0</v>
      </c>
      <c r="J92" s="486">
        <v>800000</v>
      </c>
      <c r="K92" s="486">
        <v>0</v>
      </c>
      <c r="L92" s="486">
        <v>800000</v>
      </c>
      <c r="M92" s="486">
        <v>755263.23</v>
      </c>
      <c r="N92" s="486">
        <v>755263.23</v>
      </c>
      <c r="O92" s="486"/>
      <c r="P92" s="451">
        <f t="shared" si="1"/>
        <v>800000</v>
      </c>
    </row>
    <row r="93" spans="1:16" ht="17.100000000000001" customHeight="1" x14ac:dyDescent="0.2">
      <c r="A93" s="446" t="str">
        <f t="shared" si="3"/>
        <v>204817-3-181</v>
      </c>
      <c r="B93" s="475">
        <v>204817</v>
      </c>
      <c r="C93" s="476">
        <v>3</v>
      </c>
      <c r="D93" s="477" t="s">
        <v>8</v>
      </c>
      <c r="E93" s="476">
        <v>181</v>
      </c>
      <c r="F93" s="485">
        <v>700000</v>
      </c>
      <c r="G93" s="485">
        <v>0</v>
      </c>
      <c r="H93" s="485">
        <v>700000</v>
      </c>
      <c r="I93" s="485">
        <v>0</v>
      </c>
      <c r="J93" s="485">
        <v>700000</v>
      </c>
      <c r="K93" s="485">
        <v>0</v>
      </c>
      <c r="L93" s="485">
        <v>700000</v>
      </c>
      <c r="M93" s="485">
        <v>670259.6</v>
      </c>
      <c r="N93" s="485">
        <v>670259.6</v>
      </c>
      <c r="O93" s="485"/>
      <c r="P93" s="452">
        <f>+L93-O93</f>
        <v>700000</v>
      </c>
    </row>
    <row r="94" spans="1:16" ht="17.100000000000001" customHeight="1" x14ac:dyDescent="0.2">
      <c r="A94" s="446" t="str">
        <f t="shared" ref="A94" si="4">CONCATENATE(B94,"-",C94,"-",E94)</f>
        <v>204818-3-142</v>
      </c>
      <c r="B94" s="479">
        <v>204818</v>
      </c>
      <c r="C94" s="480">
        <v>3</v>
      </c>
      <c r="D94" s="481" t="s">
        <v>8</v>
      </c>
      <c r="E94" s="480">
        <v>142</v>
      </c>
      <c r="F94" s="486">
        <v>1</v>
      </c>
      <c r="G94" s="486">
        <v>0</v>
      </c>
      <c r="H94" s="486">
        <v>1</v>
      </c>
      <c r="I94" s="486">
        <v>0</v>
      </c>
      <c r="J94" s="486">
        <v>1</v>
      </c>
      <c r="K94" s="486">
        <v>0</v>
      </c>
      <c r="L94" s="486">
        <v>1</v>
      </c>
      <c r="M94" s="486">
        <v>1</v>
      </c>
      <c r="N94" s="486">
        <v>1</v>
      </c>
      <c r="O94" s="486"/>
      <c r="P94" s="451">
        <f t="shared" si="1"/>
        <v>1</v>
      </c>
    </row>
    <row r="95" spans="1:16" ht="17.100000000000001" customHeight="1" x14ac:dyDescent="0.2">
      <c r="A95" s="446"/>
      <c r="B95" s="483" t="s">
        <v>9</v>
      </c>
      <c r="C95" s="495"/>
      <c r="D95" s="495"/>
      <c r="E95" s="483"/>
      <c r="F95" s="484">
        <v>517546895</v>
      </c>
      <c r="G95" s="484">
        <v>-3436635</v>
      </c>
      <c r="H95" s="484">
        <v>514110260</v>
      </c>
      <c r="I95" s="484">
        <v>0</v>
      </c>
      <c r="J95" s="484">
        <v>514110260</v>
      </c>
      <c r="K95" s="484">
        <v>0</v>
      </c>
      <c r="L95" s="484">
        <v>514110260</v>
      </c>
      <c r="M95" s="484">
        <v>382088487.77999997</v>
      </c>
      <c r="N95" s="484">
        <v>380134864.63</v>
      </c>
      <c r="O95" s="484">
        <v>1750000</v>
      </c>
      <c r="P95" s="453">
        <f>+L95-O95</f>
        <v>512360260</v>
      </c>
    </row>
    <row r="97" spans="13:14" ht="17.100000000000001" customHeight="1" x14ac:dyDescent="0.2">
      <c r="M97" s="454"/>
      <c r="N97" s="455">
        <f>N95-'Execução Orçamentária'!P411</f>
        <v>0</v>
      </c>
    </row>
  </sheetData>
  <mergeCells count="16">
    <mergeCell ref="C95:D95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75"/>
  <sheetViews>
    <sheetView showGridLines="0" zoomScale="80" zoomScaleNormal="80" workbookViewId="0">
      <pane xSplit="1" ySplit="4" topLeftCell="B50" activePane="bottomRight" state="frozen"/>
      <selection activeCell="Q5" sqref="Q5:Q7"/>
      <selection pane="topRight" activeCell="Q5" sqref="Q5:Q7"/>
      <selection pane="bottomLeft" activeCell="Q5" sqref="Q5:Q7"/>
      <selection pane="bottomRight" activeCell="L78" sqref="L78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98" t="s">
        <v>48</v>
      </c>
      <c r="B3" s="501" t="s">
        <v>0</v>
      </c>
      <c r="C3" s="501" t="s">
        <v>1</v>
      </c>
      <c r="D3" s="501"/>
      <c r="E3" s="499" t="s">
        <v>349</v>
      </c>
      <c r="F3" s="493" t="s">
        <v>67</v>
      </c>
      <c r="G3" s="493" t="s">
        <v>50</v>
      </c>
      <c r="H3" s="493" t="s">
        <v>51</v>
      </c>
      <c r="I3" s="493" t="s">
        <v>52</v>
      </c>
      <c r="J3" s="493" t="s">
        <v>53</v>
      </c>
      <c r="K3" s="493" t="s">
        <v>54</v>
      </c>
      <c r="L3" s="493" t="s">
        <v>5</v>
      </c>
      <c r="M3" s="493" t="s">
        <v>12</v>
      </c>
    </row>
    <row r="4" spans="1:13" ht="32.1" customHeight="1" x14ac:dyDescent="0.2">
      <c r="A4" s="498"/>
      <c r="B4" s="501"/>
      <c r="C4" s="501"/>
      <c r="D4" s="501"/>
      <c r="E4" s="500"/>
      <c r="F4" s="494"/>
      <c r="G4" s="494"/>
      <c r="H4" s="494"/>
      <c r="I4" s="494"/>
      <c r="J4" s="494"/>
      <c r="K4" s="494"/>
      <c r="L4" s="494"/>
      <c r="M4" s="494"/>
    </row>
    <row r="5" spans="1:13" ht="20.100000000000001" customHeight="1" x14ac:dyDescent="0.2">
      <c r="A5" s="410" t="str">
        <f>CONCATENATE(B5,"-",C5,"-",E5)</f>
        <v>93045-1-100</v>
      </c>
      <c r="B5" s="475">
        <v>93045</v>
      </c>
      <c r="C5" s="476">
        <v>1</v>
      </c>
      <c r="D5" s="477" t="s">
        <v>11</v>
      </c>
      <c r="E5" s="476">
        <v>100</v>
      </c>
      <c r="F5" s="478">
        <v>370274.07</v>
      </c>
      <c r="G5" s="478">
        <v>370274.07</v>
      </c>
      <c r="H5" s="478">
        <v>0</v>
      </c>
      <c r="I5" s="478">
        <v>370274.07</v>
      </c>
      <c r="J5" s="478">
        <v>0</v>
      </c>
      <c r="K5" s="478">
        <v>370274.07</v>
      </c>
      <c r="L5" s="478">
        <v>0</v>
      </c>
      <c r="M5" s="437"/>
    </row>
    <row r="6" spans="1:13" ht="20.100000000000001" customHeight="1" x14ac:dyDescent="0.2">
      <c r="A6" s="410" t="str">
        <f t="shared" ref="A6:A69" si="0">CONCATENATE(B6,"-",C6,"-",E6)</f>
        <v>93045-3-100</v>
      </c>
      <c r="B6" s="479">
        <v>93045</v>
      </c>
      <c r="C6" s="480">
        <v>3</v>
      </c>
      <c r="D6" s="481" t="s">
        <v>8</v>
      </c>
      <c r="E6" s="480">
        <v>100</v>
      </c>
      <c r="F6" s="482">
        <v>13060.95</v>
      </c>
      <c r="G6" s="482">
        <v>13060.95</v>
      </c>
      <c r="H6" s="482">
        <v>0</v>
      </c>
      <c r="I6" s="482">
        <v>13060.95</v>
      </c>
      <c r="J6" s="482">
        <v>0</v>
      </c>
      <c r="K6" s="482">
        <v>13060.95</v>
      </c>
      <c r="L6" s="482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75">
        <v>93048</v>
      </c>
      <c r="C7" s="476">
        <v>1</v>
      </c>
      <c r="D7" s="477" t="s">
        <v>11</v>
      </c>
      <c r="E7" s="476">
        <v>100</v>
      </c>
      <c r="F7" s="478">
        <v>21973.599999999999</v>
      </c>
      <c r="G7" s="478">
        <v>21973.599999999999</v>
      </c>
      <c r="H7" s="478">
        <v>0</v>
      </c>
      <c r="I7" s="478">
        <v>21973.599999999999</v>
      </c>
      <c r="J7" s="478">
        <v>0</v>
      </c>
      <c r="K7" s="478">
        <v>21973.599999999999</v>
      </c>
      <c r="L7" s="478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79">
        <v>128805</v>
      </c>
      <c r="C8" s="480">
        <v>3</v>
      </c>
      <c r="D8" s="481" t="s">
        <v>8</v>
      </c>
      <c r="E8" s="480">
        <v>142</v>
      </c>
      <c r="F8" s="482">
        <v>27126.81</v>
      </c>
      <c r="G8" s="482">
        <v>27126.81</v>
      </c>
      <c r="H8" s="482">
        <v>0</v>
      </c>
      <c r="I8" s="482">
        <v>27126.81</v>
      </c>
      <c r="J8" s="482">
        <v>0</v>
      </c>
      <c r="K8" s="482">
        <v>27126.81</v>
      </c>
      <c r="L8" s="482">
        <v>0</v>
      </c>
      <c r="M8" s="438"/>
    </row>
    <row r="9" spans="1:13" ht="20.100000000000001" customHeight="1" x14ac:dyDescent="0.2">
      <c r="A9" s="410" t="str">
        <f t="shared" si="0"/>
        <v>128811-3-142</v>
      </c>
      <c r="B9" s="475">
        <v>128811</v>
      </c>
      <c r="C9" s="476">
        <v>3</v>
      </c>
      <c r="D9" s="477" t="s">
        <v>8</v>
      </c>
      <c r="E9" s="476">
        <v>142</v>
      </c>
      <c r="F9" s="478">
        <v>69880.08</v>
      </c>
      <c r="G9" s="478">
        <v>69880.08</v>
      </c>
      <c r="H9" s="478">
        <v>0</v>
      </c>
      <c r="I9" s="478">
        <v>69880.08</v>
      </c>
      <c r="J9" s="478">
        <v>0</v>
      </c>
      <c r="K9" s="478">
        <v>69880.08</v>
      </c>
      <c r="L9" s="478">
        <v>0</v>
      </c>
      <c r="M9" s="437"/>
    </row>
    <row r="10" spans="1:13" ht="20.100000000000001" customHeight="1" x14ac:dyDescent="0.2">
      <c r="A10" s="410" t="str">
        <f t="shared" si="0"/>
        <v>139605-3-151</v>
      </c>
      <c r="B10" s="479">
        <v>139605</v>
      </c>
      <c r="C10" s="480">
        <v>3</v>
      </c>
      <c r="D10" s="481" t="s">
        <v>8</v>
      </c>
      <c r="E10" s="480">
        <v>151</v>
      </c>
      <c r="F10" s="482">
        <v>81031.58</v>
      </c>
      <c r="G10" s="482">
        <v>81031.58</v>
      </c>
      <c r="H10" s="482">
        <v>0</v>
      </c>
      <c r="I10" s="482">
        <v>81031.58</v>
      </c>
      <c r="J10" s="482">
        <v>0</v>
      </c>
      <c r="K10" s="482">
        <v>81031.58</v>
      </c>
      <c r="L10" s="482">
        <v>0</v>
      </c>
      <c r="M10" s="438"/>
    </row>
    <row r="11" spans="1:13" ht="20.100000000000001" customHeight="1" x14ac:dyDescent="0.2">
      <c r="A11" s="410" t="str">
        <f t="shared" si="0"/>
        <v>174222-1-100</v>
      </c>
      <c r="B11" s="475">
        <v>174222</v>
      </c>
      <c r="C11" s="476">
        <v>1</v>
      </c>
      <c r="D11" s="477" t="s">
        <v>11</v>
      </c>
      <c r="E11" s="476">
        <v>100</v>
      </c>
      <c r="F11" s="478">
        <v>102391012.26000001</v>
      </c>
      <c r="G11" s="478">
        <v>93768797.829999998</v>
      </c>
      <c r="H11" s="478">
        <v>6291006.2000000002</v>
      </c>
      <c r="I11" s="478">
        <v>87477791.629999995</v>
      </c>
      <c r="J11" s="478">
        <v>7771227.71</v>
      </c>
      <c r="K11" s="478">
        <v>79706563.920000002</v>
      </c>
      <c r="L11" s="478">
        <v>8622214.4299999997</v>
      </c>
      <c r="M11" s="437"/>
    </row>
    <row r="12" spans="1:13" ht="20.100000000000001" customHeight="1" x14ac:dyDescent="0.2">
      <c r="A12" s="410" t="str">
        <f t="shared" si="0"/>
        <v>174224-3-151</v>
      </c>
      <c r="B12" s="479">
        <v>174224</v>
      </c>
      <c r="C12" s="480">
        <v>3</v>
      </c>
      <c r="D12" s="481" t="s">
        <v>8</v>
      </c>
      <c r="E12" s="480">
        <v>151</v>
      </c>
      <c r="F12" s="482">
        <v>4757084.6100000003</v>
      </c>
      <c r="G12" s="482">
        <v>4757084.6100000003</v>
      </c>
      <c r="H12" s="482">
        <v>888583.12</v>
      </c>
      <c r="I12" s="482">
        <v>3868501.49</v>
      </c>
      <c r="J12" s="482">
        <v>207326.59</v>
      </c>
      <c r="K12" s="482">
        <v>3661174.9</v>
      </c>
      <c r="L12" s="482">
        <v>0</v>
      </c>
      <c r="M12" s="438"/>
    </row>
    <row r="13" spans="1:13" ht="20.100000000000001" customHeight="1" x14ac:dyDescent="0.2">
      <c r="A13" s="410" t="str">
        <f t="shared" si="0"/>
        <v>174225-3-151</v>
      </c>
      <c r="B13" s="475">
        <v>174225</v>
      </c>
      <c r="C13" s="476">
        <v>3</v>
      </c>
      <c r="D13" s="477" t="s">
        <v>8</v>
      </c>
      <c r="E13" s="476">
        <v>151</v>
      </c>
      <c r="F13" s="478">
        <v>256775.41</v>
      </c>
      <c r="G13" s="478">
        <v>219904.01</v>
      </c>
      <c r="H13" s="478">
        <v>121912.7</v>
      </c>
      <c r="I13" s="478">
        <v>97991.31</v>
      </c>
      <c r="J13" s="478">
        <v>6455.34</v>
      </c>
      <c r="K13" s="478">
        <v>91535.97</v>
      </c>
      <c r="L13" s="478">
        <v>36871.4</v>
      </c>
      <c r="M13" s="437"/>
    </row>
    <row r="14" spans="1:13" ht="20.100000000000001" customHeight="1" x14ac:dyDescent="0.2">
      <c r="A14" s="410" t="str">
        <f t="shared" si="0"/>
        <v>174230-3-142</v>
      </c>
      <c r="B14" s="479">
        <v>174230</v>
      </c>
      <c r="C14" s="480">
        <v>3</v>
      </c>
      <c r="D14" s="481" t="s">
        <v>8</v>
      </c>
      <c r="E14" s="480">
        <v>142</v>
      </c>
      <c r="F14" s="482">
        <v>16038.62</v>
      </c>
      <c r="G14" s="482">
        <v>12387.72</v>
      </c>
      <c r="H14" s="482">
        <v>0</v>
      </c>
      <c r="I14" s="482">
        <v>12387.72</v>
      </c>
      <c r="J14" s="482">
        <v>7663.71</v>
      </c>
      <c r="K14" s="482">
        <v>4724.01</v>
      </c>
      <c r="L14" s="482">
        <v>3650.9</v>
      </c>
      <c r="M14" s="438"/>
    </row>
    <row r="15" spans="1:13" ht="20.100000000000001" customHeight="1" x14ac:dyDescent="0.2">
      <c r="A15" s="410" t="str">
        <f t="shared" si="0"/>
        <v>174231-3-142</v>
      </c>
      <c r="B15" s="475">
        <v>174231</v>
      </c>
      <c r="C15" s="476">
        <v>3</v>
      </c>
      <c r="D15" s="477" t="s">
        <v>8</v>
      </c>
      <c r="E15" s="476">
        <v>142</v>
      </c>
      <c r="F15" s="478">
        <v>63630.73</v>
      </c>
      <c r="G15" s="478">
        <v>52374.11</v>
      </c>
      <c r="H15" s="478">
        <v>27258.55</v>
      </c>
      <c r="I15" s="478">
        <v>25115.56</v>
      </c>
      <c r="J15" s="478">
        <v>1653.08</v>
      </c>
      <c r="K15" s="478">
        <v>23462.48</v>
      </c>
      <c r="L15" s="478">
        <v>11256.62</v>
      </c>
      <c r="M15" s="437"/>
    </row>
    <row r="16" spans="1:13" ht="20.100000000000001" customHeight="1" x14ac:dyDescent="0.2">
      <c r="A16" s="410" t="str">
        <f t="shared" si="0"/>
        <v>174231-4-142</v>
      </c>
      <c r="B16" s="479">
        <v>174231</v>
      </c>
      <c r="C16" s="480">
        <v>4</v>
      </c>
      <c r="D16" s="481" t="s">
        <v>7</v>
      </c>
      <c r="E16" s="480">
        <v>142</v>
      </c>
      <c r="F16" s="482">
        <v>1040.06</v>
      </c>
      <c r="G16" s="482"/>
      <c r="H16" s="482"/>
      <c r="I16" s="482"/>
      <c r="J16" s="482"/>
      <c r="K16" s="482"/>
      <c r="L16" s="482">
        <v>1040.06</v>
      </c>
      <c r="M16" s="438"/>
    </row>
    <row r="17" spans="1:13" ht="20.100000000000001" customHeight="1" x14ac:dyDescent="0.2">
      <c r="A17" s="410" t="str">
        <f t="shared" si="0"/>
        <v>174232-3-142</v>
      </c>
      <c r="B17" s="475">
        <v>174232</v>
      </c>
      <c r="C17" s="476">
        <v>3</v>
      </c>
      <c r="D17" s="477" t="s">
        <v>8</v>
      </c>
      <c r="E17" s="476">
        <v>142</v>
      </c>
      <c r="F17" s="478">
        <v>4106973.05</v>
      </c>
      <c r="G17" s="478">
        <v>4130267.47</v>
      </c>
      <c r="H17" s="478">
        <v>945586.35</v>
      </c>
      <c r="I17" s="478">
        <v>3184681.12</v>
      </c>
      <c r="J17" s="478">
        <v>771758.52</v>
      </c>
      <c r="K17" s="478">
        <v>2412922.6</v>
      </c>
      <c r="L17" s="478">
        <v>81628.73</v>
      </c>
      <c r="M17" s="437"/>
    </row>
    <row r="18" spans="1:13" ht="20.100000000000001" customHeight="1" x14ac:dyDescent="0.2">
      <c r="A18" s="410" t="str">
        <f t="shared" si="0"/>
        <v>174232-4-142</v>
      </c>
      <c r="B18" s="479">
        <v>174232</v>
      </c>
      <c r="C18" s="480">
        <v>4</v>
      </c>
      <c r="D18" s="481" t="s">
        <v>7</v>
      </c>
      <c r="E18" s="480">
        <v>142</v>
      </c>
      <c r="F18" s="482">
        <v>59676.99</v>
      </c>
      <c r="G18" s="482">
        <v>59675.99</v>
      </c>
      <c r="H18" s="482">
        <v>19080</v>
      </c>
      <c r="I18" s="482">
        <v>40595.99</v>
      </c>
      <c r="J18" s="482">
        <v>0</v>
      </c>
      <c r="K18" s="482">
        <v>40595.99</v>
      </c>
      <c r="L18" s="482">
        <v>1</v>
      </c>
      <c r="M18" s="438"/>
    </row>
    <row r="19" spans="1:13" ht="20.100000000000001" customHeight="1" x14ac:dyDescent="0.2">
      <c r="A19" s="410" t="str">
        <f t="shared" si="0"/>
        <v>174233-3-142</v>
      </c>
      <c r="B19" s="475">
        <v>174233</v>
      </c>
      <c r="C19" s="476">
        <v>3</v>
      </c>
      <c r="D19" s="477" t="s">
        <v>8</v>
      </c>
      <c r="E19" s="476">
        <v>142</v>
      </c>
      <c r="F19" s="478">
        <v>182588.18</v>
      </c>
      <c r="G19" s="478">
        <v>170669.63</v>
      </c>
      <c r="H19" s="478">
        <v>85511.73</v>
      </c>
      <c r="I19" s="478">
        <v>85157.9</v>
      </c>
      <c r="J19" s="478">
        <v>13699.84</v>
      </c>
      <c r="K19" s="478">
        <v>71458.06</v>
      </c>
      <c r="L19" s="478">
        <v>11918.55</v>
      </c>
      <c r="M19" s="437"/>
    </row>
    <row r="20" spans="1:13" ht="20.100000000000001" customHeight="1" x14ac:dyDescent="0.2">
      <c r="A20" s="410" t="str">
        <f t="shared" si="0"/>
        <v>174233-4-142</v>
      </c>
      <c r="B20" s="479">
        <v>174233</v>
      </c>
      <c r="C20" s="480">
        <v>4</v>
      </c>
      <c r="D20" s="481" t="s">
        <v>7</v>
      </c>
      <c r="E20" s="480">
        <v>142</v>
      </c>
      <c r="F20" s="482">
        <v>5197</v>
      </c>
      <c r="G20" s="482">
        <v>5197</v>
      </c>
      <c r="H20" s="482">
        <v>5197</v>
      </c>
      <c r="I20" s="482"/>
      <c r="J20" s="482"/>
      <c r="K20" s="482"/>
      <c r="L20" s="482">
        <v>0</v>
      </c>
      <c r="M20" s="438"/>
    </row>
    <row r="21" spans="1:13" ht="20.100000000000001" customHeight="1" x14ac:dyDescent="0.2">
      <c r="A21" s="410" t="str">
        <f t="shared" si="0"/>
        <v>174234-3-142</v>
      </c>
      <c r="B21" s="475">
        <v>174234</v>
      </c>
      <c r="C21" s="476">
        <v>3</v>
      </c>
      <c r="D21" s="477" t="s">
        <v>8</v>
      </c>
      <c r="E21" s="476">
        <v>142</v>
      </c>
      <c r="F21" s="478">
        <v>165632.46</v>
      </c>
      <c r="G21" s="478">
        <v>104974.7</v>
      </c>
      <c r="H21" s="478">
        <v>72292.59</v>
      </c>
      <c r="I21" s="478">
        <v>32682.11</v>
      </c>
      <c r="J21" s="478">
        <v>7419.38</v>
      </c>
      <c r="K21" s="478">
        <v>25262.73</v>
      </c>
      <c r="L21" s="478">
        <v>60657.760000000002</v>
      </c>
      <c r="M21" s="437"/>
    </row>
    <row r="22" spans="1:13" ht="20.100000000000001" customHeight="1" x14ac:dyDescent="0.2">
      <c r="A22" s="410" t="str">
        <f t="shared" si="0"/>
        <v>174234-4-142</v>
      </c>
      <c r="B22" s="479">
        <v>174234</v>
      </c>
      <c r="C22" s="480">
        <v>4</v>
      </c>
      <c r="D22" s="481" t="s">
        <v>7</v>
      </c>
      <c r="E22" s="480">
        <v>142</v>
      </c>
      <c r="F22" s="482">
        <v>264797.63</v>
      </c>
      <c r="G22" s="482">
        <v>261957</v>
      </c>
      <c r="H22" s="482">
        <v>0</v>
      </c>
      <c r="I22" s="482">
        <v>261957</v>
      </c>
      <c r="J22" s="482">
        <v>15324.48</v>
      </c>
      <c r="K22" s="482">
        <v>246632.52</v>
      </c>
      <c r="L22" s="482">
        <v>2840.63</v>
      </c>
      <c r="M22" s="438"/>
    </row>
    <row r="23" spans="1:13" ht="20.100000000000001" customHeight="1" x14ac:dyDescent="0.2">
      <c r="A23" s="410" t="str">
        <f t="shared" si="0"/>
        <v>174235-3-142</v>
      </c>
      <c r="B23" s="475">
        <v>174235</v>
      </c>
      <c r="C23" s="476">
        <v>3</v>
      </c>
      <c r="D23" s="477" t="s">
        <v>8</v>
      </c>
      <c r="E23" s="476">
        <v>142</v>
      </c>
      <c r="F23" s="478">
        <v>57234.77</v>
      </c>
      <c r="G23" s="478">
        <v>55044.38</v>
      </c>
      <c r="H23" s="478">
        <v>12163.04</v>
      </c>
      <c r="I23" s="478">
        <v>42881.34</v>
      </c>
      <c r="J23" s="478">
        <v>1379.31</v>
      </c>
      <c r="K23" s="478">
        <v>41502.03</v>
      </c>
      <c r="L23" s="478">
        <v>2190.39</v>
      </c>
      <c r="M23" s="437"/>
    </row>
    <row r="24" spans="1:13" ht="20.100000000000001" customHeight="1" x14ac:dyDescent="0.2">
      <c r="A24" s="410" t="str">
        <f t="shared" si="0"/>
        <v>174236-3-142</v>
      </c>
      <c r="B24" s="479">
        <v>174236</v>
      </c>
      <c r="C24" s="480">
        <v>3</v>
      </c>
      <c r="D24" s="481" t="s">
        <v>8</v>
      </c>
      <c r="E24" s="480">
        <v>142</v>
      </c>
      <c r="F24" s="482">
        <v>12707.45</v>
      </c>
      <c r="G24" s="482">
        <v>10975.14</v>
      </c>
      <c r="H24" s="482">
        <v>8288.56</v>
      </c>
      <c r="I24" s="482">
        <v>2686.58</v>
      </c>
      <c r="J24" s="482">
        <v>1829.19</v>
      </c>
      <c r="K24" s="482">
        <v>857.39</v>
      </c>
      <c r="L24" s="482">
        <v>1732.31</v>
      </c>
      <c r="M24" s="438"/>
    </row>
    <row r="25" spans="1:13" ht="20.100000000000001" customHeight="1" x14ac:dyDescent="0.2">
      <c r="A25" s="410" t="str">
        <f t="shared" si="0"/>
        <v>174237-3-142</v>
      </c>
      <c r="B25" s="475">
        <v>174237</v>
      </c>
      <c r="C25" s="476">
        <v>3</v>
      </c>
      <c r="D25" s="477" t="s">
        <v>8</v>
      </c>
      <c r="E25" s="476">
        <v>142</v>
      </c>
      <c r="F25" s="478">
        <v>114964.27</v>
      </c>
      <c r="G25" s="478">
        <v>104175.47</v>
      </c>
      <c r="H25" s="478">
        <v>88052</v>
      </c>
      <c r="I25" s="478">
        <v>16123.47</v>
      </c>
      <c r="J25" s="478">
        <v>0</v>
      </c>
      <c r="K25" s="478">
        <v>16123.47</v>
      </c>
      <c r="L25" s="478">
        <v>109488.8</v>
      </c>
      <c r="M25" s="437"/>
    </row>
    <row r="26" spans="1:13" ht="20.100000000000001" customHeight="1" x14ac:dyDescent="0.2">
      <c r="A26" s="410" t="str">
        <f t="shared" si="0"/>
        <v>174238-3-142</v>
      </c>
      <c r="B26" s="479">
        <v>174238</v>
      </c>
      <c r="C26" s="480">
        <v>3</v>
      </c>
      <c r="D26" s="481" t="s">
        <v>8</v>
      </c>
      <c r="E26" s="480">
        <v>142</v>
      </c>
      <c r="F26" s="482">
        <v>57602.1</v>
      </c>
      <c r="G26" s="482">
        <v>41512.1</v>
      </c>
      <c r="H26" s="482">
        <v>25665.35</v>
      </c>
      <c r="I26" s="482">
        <v>15846.75</v>
      </c>
      <c r="J26" s="482">
        <v>7743.15</v>
      </c>
      <c r="K26" s="482">
        <v>8103.6</v>
      </c>
      <c r="L26" s="482">
        <v>16090</v>
      </c>
      <c r="M26" s="438"/>
    </row>
    <row r="27" spans="1:13" ht="20.100000000000001" customHeight="1" x14ac:dyDescent="0.2">
      <c r="A27" s="410" t="str">
        <f t="shared" si="0"/>
        <v>174239-3-142</v>
      </c>
      <c r="B27" s="475">
        <v>174239</v>
      </c>
      <c r="C27" s="476">
        <v>3</v>
      </c>
      <c r="D27" s="477" t="s">
        <v>8</v>
      </c>
      <c r="E27" s="476">
        <v>142</v>
      </c>
      <c r="F27" s="478">
        <v>937788.01</v>
      </c>
      <c r="G27" s="478">
        <v>838992.8</v>
      </c>
      <c r="H27" s="478">
        <v>267368.34000000003</v>
      </c>
      <c r="I27" s="478">
        <v>571624.46</v>
      </c>
      <c r="J27" s="478">
        <v>233804.29</v>
      </c>
      <c r="K27" s="478">
        <v>337820.17</v>
      </c>
      <c r="L27" s="478">
        <v>98795.21</v>
      </c>
      <c r="M27" s="437"/>
    </row>
    <row r="28" spans="1:13" ht="20.100000000000001" customHeight="1" x14ac:dyDescent="0.2">
      <c r="A28" s="410" t="str">
        <f t="shared" si="0"/>
        <v>174239-4-142</v>
      </c>
      <c r="B28" s="479">
        <v>174239</v>
      </c>
      <c r="C28" s="480">
        <v>4</v>
      </c>
      <c r="D28" s="481" t="s">
        <v>7</v>
      </c>
      <c r="E28" s="480">
        <v>142</v>
      </c>
      <c r="F28" s="482">
        <v>13948.55</v>
      </c>
      <c r="G28" s="482">
        <v>11971.9</v>
      </c>
      <c r="H28" s="482">
        <v>11480</v>
      </c>
      <c r="I28" s="482">
        <v>491.9</v>
      </c>
      <c r="J28" s="482">
        <v>0</v>
      </c>
      <c r="K28" s="482">
        <v>491.9</v>
      </c>
      <c r="L28" s="482">
        <v>1976.65</v>
      </c>
      <c r="M28" s="438"/>
    </row>
    <row r="29" spans="1:13" ht="20.100000000000001" customHeight="1" x14ac:dyDescent="0.2">
      <c r="A29" s="410" t="str">
        <f t="shared" si="0"/>
        <v>174239-3-150</v>
      </c>
      <c r="B29" s="475">
        <v>174239</v>
      </c>
      <c r="C29" s="476">
        <v>3</v>
      </c>
      <c r="D29" s="477" t="s">
        <v>8</v>
      </c>
      <c r="E29" s="476">
        <v>150</v>
      </c>
      <c r="F29" s="478">
        <v>208011.86</v>
      </c>
      <c r="G29" s="478">
        <v>207773.29</v>
      </c>
      <c r="H29" s="478">
        <v>104117.39</v>
      </c>
      <c r="I29" s="478">
        <v>103655.9</v>
      </c>
      <c r="J29" s="478">
        <v>33223.550000000003</v>
      </c>
      <c r="K29" s="478">
        <v>70432.350000000006</v>
      </c>
      <c r="L29" s="478">
        <v>238.57</v>
      </c>
      <c r="M29" s="437"/>
    </row>
    <row r="30" spans="1:13" ht="20.100000000000001" customHeight="1" x14ac:dyDescent="0.2">
      <c r="A30" s="410" t="str">
        <f t="shared" si="0"/>
        <v>174240-3-142</v>
      </c>
      <c r="B30" s="479">
        <v>174240</v>
      </c>
      <c r="C30" s="480">
        <v>3</v>
      </c>
      <c r="D30" s="481" t="s">
        <v>8</v>
      </c>
      <c r="E30" s="480">
        <v>142</v>
      </c>
      <c r="F30" s="482">
        <v>127694.48</v>
      </c>
      <c r="G30" s="482">
        <v>70408.09</v>
      </c>
      <c r="H30" s="482">
        <v>0</v>
      </c>
      <c r="I30" s="482">
        <v>70408.09</v>
      </c>
      <c r="J30" s="482">
        <v>914</v>
      </c>
      <c r="K30" s="482">
        <v>69494.09</v>
      </c>
      <c r="L30" s="482">
        <v>57286.39</v>
      </c>
      <c r="M30" s="438"/>
    </row>
    <row r="31" spans="1:13" ht="20.100000000000001" customHeight="1" x14ac:dyDescent="0.2">
      <c r="A31" s="410" t="str">
        <f t="shared" si="0"/>
        <v>174241-3-142</v>
      </c>
      <c r="B31" s="475">
        <v>174241</v>
      </c>
      <c r="C31" s="476">
        <v>3</v>
      </c>
      <c r="D31" s="477" t="s">
        <v>8</v>
      </c>
      <c r="E31" s="476">
        <v>142</v>
      </c>
      <c r="F31" s="478">
        <v>973137.82</v>
      </c>
      <c r="G31" s="478">
        <v>934941.18</v>
      </c>
      <c r="H31" s="478">
        <v>232053.89</v>
      </c>
      <c r="I31" s="478">
        <v>702887.29</v>
      </c>
      <c r="J31" s="478">
        <v>569360.36</v>
      </c>
      <c r="K31" s="478">
        <v>133526.93</v>
      </c>
      <c r="L31" s="478">
        <v>38196.639999999999</v>
      </c>
      <c r="M31" s="437"/>
    </row>
    <row r="32" spans="1:13" ht="20.100000000000001" customHeight="1" x14ac:dyDescent="0.2">
      <c r="A32" s="410" t="str">
        <f t="shared" si="0"/>
        <v>174241-4-142</v>
      </c>
      <c r="B32" s="479">
        <v>174241</v>
      </c>
      <c r="C32" s="480">
        <v>4</v>
      </c>
      <c r="D32" s="481" t="s">
        <v>7</v>
      </c>
      <c r="E32" s="480">
        <v>142</v>
      </c>
      <c r="F32" s="482">
        <v>220515</v>
      </c>
      <c r="G32" s="482">
        <v>215916</v>
      </c>
      <c r="H32" s="482">
        <v>215916</v>
      </c>
      <c r="I32" s="482"/>
      <c r="J32" s="482"/>
      <c r="K32" s="482"/>
      <c r="L32" s="482">
        <v>4599</v>
      </c>
      <c r="M32" s="438"/>
    </row>
    <row r="33" spans="1:13" ht="20.100000000000001" customHeight="1" x14ac:dyDescent="0.2">
      <c r="A33" s="410" t="str">
        <f t="shared" si="0"/>
        <v>174242-3-142</v>
      </c>
      <c r="B33" s="475">
        <v>174242</v>
      </c>
      <c r="C33" s="476">
        <v>3</v>
      </c>
      <c r="D33" s="477" t="s">
        <v>8</v>
      </c>
      <c r="E33" s="476">
        <v>142</v>
      </c>
      <c r="F33" s="478">
        <v>650193.38</v>
      </c>
      <c r="G33" s="478">
        <v>593518.56000000006</v>
      </c>
      <c r="H33" s="478">
        <v>98786.11</v>
      </c>
      <c r="I33" s="478">
        <v>494732.45</v>
      </c>
      <c r="J33" s="478">
        <v>443293.71</v>
      </c>
      <c r="K33" s="478">
        <v>51438.74</v>
      </c>
      <c r="L33" s="478">
        <v>56674.82</v>
      </c>
      <c r="M33" s="437"/>
    </row>
    <row r="34" spans="1:13" ht="20.100000000000001" customHeight="1" x14ac:dyDescent="0.2">
      <c r="A34" s="410" t="str">
        <f t="shared" si="0"/>
        <v>174242-4-142</v>
      </c>
      <c r="B34" s="479">
        <v>174242</v>
      </c>
      <c r="C34" s="480">
        <v>4</v>
      </c>
      <c r="D34" s="481" t="s">
        <v>7</v>
      </c>
      <c r="E34" s="480">
        <v>142</v>
      </c>
      <c r="F34" s="482">
        <v>259809</v>
      </c>
      <c r="G34" s="482">
        <v>259809</v>
      </c>
      <c r="H34" s="482">
        <v>259809</v>
      </c>
      <c r="I34" s="482"/>
      <c r="J34" s="482"/>
      <c r="K34" s="482"/>
      <c r="L34" s="482">
        <v>0</v>
      </c>
      <c r="M34" s="438"/>
    </row>
    <row r="35" spans="1:13" ht="20.100000000000001" customHeight="1" x14ac:dyDescent="0.2">
      <c r="A35" s="410" t="str">
        <f t="shared" si="0"/>
        <v>174243-3-142</v>
      </c>
      <c r="B35" s="475">
        <v>174243</v>
      </c>
      <c r="C35" s="476">
        <v>3</v>
      </c>
      <c r="D35" s="477" t="s">
        <v>8</v>
      </c>
      <c r="E35" s="476">
        <v>142</v>
      </c>
      <c r="F35" s="478">
        <v>34143.019999999997</v>
      </c>
      <c r="G35" s="478">
        <v>13061.36</v>
      </c>
      <c r="H35" s="478">
        <v>0</v>
      </c>
      <c r="I35" s="478">
        <v>13061.36</v>
      </c>
      <c r="J35" s="478">
        <v>805.62</v>
      </c>
      <c r="K35" s="478">
        <v>12255.74</v>
      </c>
      <c r="L35" s="478">
        <v>21081.66</v>
      </c>
      <c r="M35" s="437"/>
    </row>
    <row r="36" spans="1:13" ht="20.100000000000001" customHeight="1" x14ac:dyDescent="0.2">
      <c r="A36" s="410" t="str">
        <f t="shared" si="0"/>
        <v>174244-3-142</v>
      </c>
      <c r="B36" s="479">
        <v>174244</v>
      </c>
      <c r="C36" s="480">
        <v>3</v>
      </c>
      <c r="D36" s="481" t="s">
        <v>8</v>
      </c>
      <c r="E36" s="480">
        <v>142</v>
      </c>
      <c r="F36" s="482">
        <v>85011.48</v>
      </c>
      <c r="G36" s="482">
        <v>85011.48</v>
      </c>
      <c r="H36" s="482">
        <v>85011.48</v>
      </c>
      <c r="I36" s="482"/>
      <c r="J36" s="482"/>
      <c r="K36" s="482"/>
      <c r="L36" s="482">
        <v>0</v>
      </c>
      <c r="M36" s="438"/>
    </row>
    <row r="37" spans="1:13" ht="20.100000000000001" customHeight="1" x14ac:dyDescent="0.2">
      <c r="A37" s="410" t="str">
        <f t="shared" si="0"/>
        <v>174245-3-142</v>
      </c>
      <c r="B37" s="475">
        <v>174245</v>
      </c>
      <c r="C37" s="476">
        <v>3</v>
      </c>
      <c r="D37" s="477" t="s">
        <v>8</v>
      </c>
      <c r="E37" s="476">
        <v>142</v>
      </c>
      <c r="F37" s="478">
        <v>751375.14</v>
      </c>
      <c r="G37" s="478">
        <v>749875.14</v>
      </c>
      <c r="H37" s="478">
        <v>358736</v>
      </c>
      <c r="I37" s="478">
        <v>391139.14</v>
      </c>
      <c r="J37" s="478">
        <v>49034.15</v>
      </c>
      <c r="K37" s="478">
        <v>342104.99</v>
      </c>
      <c r="L37" s="478">
        <v>1500</v>
      </c>
      <c r="M37" s="437"/>
    </row>
    <row r="38" spans="1:13" ht="20.100000000000001" customHeight="1" x14ac:dyDescent="0.2">
      <c r="A38" s="410" t="str">
        <f t="shared" si="0"/>
        <v>174245-4-142</v>
      </c>
      <c r="B38" s="479">
        <v>174245</v>
      </c>
      <c r="C38" s="480">
        <v>4</v>
      </c>
      <c r="D38" s="481" t="s">
        <v>7</v>
      </c>
      <c r="E38" s="480">
        <v>142</v>
      </c>
      <c r="F38" s="482">
        <v>383411</v>
      </c>
      <c r="G38" s="482">
        <v>383411</v>
      </c>
      <c r="H38" s="482">
        <v>363614</v>
      </c>
      <c r="I38" s="482">
        <v>19797</v>
      </c>
      <c r="J38" s="482">
        <v>0</v>
      </c>
      <c r="K38" s="482">
        <v>19797</v>
      </c>
      <c r="L38" s="482">
        <v>0</v>
      </c>
      <c r="M38" s="438"/>
    </row>
    <row r="39" spans="1:13" ht="20.100000000000001" customHeight="1" x14ac:dyDescent="0.2">
      <c r="A39" s="410" t="str">
        <f t="shared" si="0"/>
        <v>174247-3-142</v>
      </c>
      <c r="B39" s="475">
        <v>174247</v>
      </c>
      <c r="C39" s="476">
        <v>3</v>
      </c>
      <c r="D39" s="477" t="s">
        <v>8</v>
      </c>
      <c r="E39" s="476">
        <v>142</v>
      </c>
      <c r="F39" s="478">
        <v>32340.43</v>
      </c>
      <c r="G39" s="478">
        <v>29119.9</v>
      </c>
      <c r="H39" s="478">
        <v>7541.27</v>
      </c>
      <c r="I39" s="478">
        <v>21578.63</v>
      </c>
      <c r="J39" s="478">
        <v>844.95</v>
      </c>
      <c r="K39" s="478">
        <v>20733.68</v>
      </c>
      <c r="L39" s="478">
        <v>3220.53</v>
      </c>
      <c r="M39" s="437"/>
    </row>
    <row r="40" spans="1:13" ht="20.100000000000001" customHeight="1" x14ac:dyDescent="0.2">
      <c r="A40" s="410" t="str">
        <f t="shared" si="0"/>
        <v>174249-3-142</v>
      </c>
      <c r="B40" s="479">
        <v>174249</v>
      </c>
      <c r="C40" s="480">
        <v>3</v>
      </c>
      <c r="D40" s="481" t="s">
        <v>8</v>
      </c>
      <c r="E40" s="480">
        <v>142</v>
      </c>
      <c r="F40" s="482">
        <v>63232.81</v>
      </c>
      <c r="G40" s="482">
        <v>55229.47</v>
      </c>
      <c r="H40" s="482">
        <v>17282.93</v>
      </c>
      <c r="I40" s="482">
        <v>37946.54</v>
      </c>
      <c r="J40" s="482">
        <v>12408.49</v>
      </c>
      <c r="K40" s="482">
        <v>25538.05</v>
      </c>
      <c r="L40" s="482">
        <v>8003.34</v>
      </c>
      <c r="M40" s="438"/>
    </row>
    <row r="41" spans="1:13" ht="20.100000000000001" customHeight="1" x14ac:dyDescent="0.2">
      <c r="A41" s="410" t="str">
        <f t="shared" si="0"/>
        <v>174249-4-142</v>
      </c>
      <c r="B41" s="475">
        <v>174249</v>
      </c>
      <c r="C41" s="476">
        <v>4</v>
      </c>
      <c r="D41" s="477" t="s">
        <v>7</v>
      </c>
      <c r="E41" s="476">
        <v>142</v>
      </c>
      <c r="F41" s="478">
        <v>288220</v>
      </c>
      <c r="G41" s="478">
        <v>288220</v>
      </c>
      <c r="H41" s="478">
        <v>288220</v>
      </c>
      <c r="I41" s="478"/>
      <c r="J41" s="478"/>
      <c r="K41" s="478"/>
      <c r="L41" s="478">
        <v>0</v>
      </c>
      <c r="M41" s="437"/>
    </row>
    <row r="42" spans="1:13" ht="20.100000000000001" customHeight="1" x14ac:dyDescent="0.2">
      <c r="A42" s="410" t="str">
        <f t="shared" si="0"/>
        <v>174250-3-142</v>
      </c>
      <c r="B42" s="479">
        <v>174250</v>
      </c>
      <c r="C42" s="480">
        <v>3</v>
      </c>
      <c r="D42" s="481" t="s">
        <v>8</v>
      </c>
      <c r="E42" s="480">
        <v>142</v>
      </c>
      <c r="F42" s="482">
        <v>621492.39</v>
      </c>
      <c r="G42" s="482">
        <v>621492.39</v>
      </c>
      <c r="H42" s="482">
        <v>0</v>
      </c>
      <c r="I42" s="482">
        <v>621492.39</v>
      </c>
      <c r="J42" s="482">
        <v>150000</v>
      </c>
      <c r="K42" s="482">
        <v>471492.39</v>
      </c>
      <c r="L42" s="482">
        <v>0</v>
      </c>
      <c r="M42" s="438"/>
    </row>
    <row r="43" spans="1:13" ht="20.100000000000001" customHeight="1" x14ac:dyDescent="0.2">
      <c r="A43" s="410" t="str">
        <f t="shared" si="0"/>
        <v>174250-4-142</v>
      </c>
      <c r="B43" s="475">
        <v>174250</v>
      </c>
      <c r="C43" s="476">
        <v>4</v>
      </c>
      <c r="D43" s="477" t="s">
        <v>7</v>
      </c>
      <c r="E43" s="476">
        <v>142</v>
      </c>
      <c r="F43" s="478">
        <v>8640</v>
      </c>
      <c r="G43" s="478"/>
      <c r="H43" s="478"/>
      <c r="I43" s="478"/>
      <c r="J43" s="478"/>
      <c r="K43" s="478"/>
      <c r="L43" s="478">
        <v>8640</v>
      </c>
      <c r="M43" s="437"/>
    </row>
    <row r="44" spans="1:13" ht="20.100000000000001" customHeight="1" x14ac:dyDescent="0.2">
      <c r="A44" s="410" t="str">
        <f t="shared" si="0"/>
        <v>174252-3-142</v>
      </c>
      <c r="B44" s="479">
        <v>174252</v>
      </c>
      <c r="C44" s="480">
        <v>3</v>
      </c>
      <c r="D44" s="481" t="s">
        <v>8</v>
      </c>
      <c r="E44" s="480">
        <v>142</v>
      </c>
      <c r="F44" s="482">
        <v>343139.24</v>
      </c>
      <c r="G44" s="482">
        <v>302531.46999999997</v>
      </c>
      <c r="H44" s="482">
        <v>64838.29</v>
      </c>
      <c r="I44" s="482">
        <v>237693.18</v>
      </c>
      <c r="J44" s="482">
        <v>37568.44</v>
      </c>
      <c r="K44" s="482">
        <v>200124.74</v>
      </c>
      <c r="L44" s="482">
        <v>40607.769999999997</v>
      </c>
      <c r="M44" s="438"/>
    </row>
    <row r="45" spans="1:13" ht="20.100000000000001" customHeight="1" x14ac:dyDescent="0.2">
      <c r="A45" s="410" t="str">
        <f t="shared" si="0"/>
        <v>174253-3-142</v>
      </c>
      <c r="B45" s="475">
        <v>174253</v>
      </c>
      <c r="C45" s="476">
        <v>3</v>
      </c>
      <c r="D45" s="477" t="s">
        <v>8</v>
      </c>
      <c r="E45" s="476">
        <v>142</v>
      </c>
      <c r="F45" s="478">
        <v>5697.38</v>
      </c>
      <c r="G45" s="478">
        <v>5666.78</v>
      </c>
      <c r="H45" s="478">
        <v>0</v>
      </c>
      <c r="I45" s="478">
        <v>5666.78</v>
      </c>
      <c r="J45" s="478">
        <v>524.23</v>
      </c>
      <c r="K45" s="478">
        <v>5142.55</v>
      </c>
      <c r="L45" s="478">
        <v>30.6</v>
      </c>
      <c r="M45" s="437"/>
    </row>
    <row r="46" spans="1:13" ht="20.100000000000001" customHeight="1" x14ac:dyDescent="0.2">
      <c r="A46" s="410" t="str">
        <f t="shared" si="0"/>
        <v>174254-3-142</v>
      </c>
      <c r="B46" s="479">
        <v>174254</v>
      </c>
      <c r="C46" s="480">
        <v>3</v>
      </c>
      <c r="D46" s="481" t="s">
        <v>8</v>
      </c>
      <c r="E46" s="480">
        <v>142</v>
      </c>
      <c r="F46" s="482">
        <v>149710.64000000001</v>
      </c>
      <c r="G46" s="482">
        <v>123830.92</v>
      </c>
      <c r="H46" s="482">
        <v>16580.810000000001</v>
      </c>
      <c r="I46" s="482">
        <v>107250.11</v>
      </c>
      <c r="J46" s="482">
        <v>7957.35</v>
      </c>
      <c r="K46" s="482">
        <v>99292.76</v>
      </c>
      <c r="L46" s="482">
        <v>25879.72</v>
      </c>
      <c r="M46" s="438"/>
    </row>
    <row r="47" spans="1:13" ht="20.100000000000001" customHeight="1" x14ac:dyDescent="0.2">
      <c r="A47" s="410" t="str">
        <f t="shared" si="0"/>
        <v>174256-3-142</v>
      </c>
      <c r="B47" s="475">
        <v>174256</v>
      </c>
      <c r="C47" s="476">
        <v>3</v>
      </c>
      <c r="D47" s="477" t="s">
        <v>8</v>
      </c>
      <c r="E47" s="476">
        <v>142</v>
      </c>
      <c r="F47" s="478">
        <v>58046.99</v>
      </c>
      <c r="G47" s="478">
        <v>58046.99</v>
      </c>
      <c r="H47" s="478">
        <v>58046.99</v>
      </c>
      <c r="I47" s="478"/>
      <c r="J47" s="478"/>
      <c r="K47" s="478"/>
      <c r="L47" s="478">
        <v>0</v>
      </c>
      <c r="M47" s="437"/>
    </row>
    <row r="48" spans="1:13" ht="20.100000000000001" customHeight="1" x14ac:dyDescent="0.2">
      <c r="A48" s="410" t="str">
        <f t="shared" si="0"/>
        <v>174257-3-142</v>
      </c>
      <c r="B48" s="479">
        <v>174257</v>
      </c>
      <c r="C48" s="480">
        <v>3</v>
      </c>
      <c r="D48" s="481" t="s">
        <v>8</v>
      </c>
      <c r="E48" s="480">
        <v>142</v>
      </c>
      <c r="F48" s="482">
        <v>118060.41</v>
      </c>
      <c r="G48" s="482">
        <v>108120.52</v>
      </c>
      <c r="H48" s="482">
        <v>12719.94</v>
      </c>
      <c r="I48" s="482">
        <v>95400.58</v>
      </c>
      <c r="J48" s="482">
        <v>19580.900000000001</v>
      </c>
      <c r="K48" s="482">
        <v>75819.679999999993</v>
      </c>
      <c r="L48" s="482">
        <v>9939.89</v>
      </c>
      <c r="M48" s="438"/>
    </row>
    <row r="49" spans="1:13" ht="20.100000000000001" customHeight="1" x14ac:dyDescent="0.2">
      <c r="A49" s="410" t="str">
        <f t="shared" si="0"/>
        <v>174258-3-142</v>
      </c>
      <c r="B49" s="475">
        <v>174258</v>
      </c>
      <c r="C49" s="476">
        <v>3</v>
      </c>
      <c r="D49" s="477" t="s">
        <v>8</v>
      </c>
      <c r="E49" s="476">
        <v>142</v>
      </c>
      <c r="F49" s="478">
        <v>121165.39</v>
      </c>
      <c r="G49" s="478">
        <v>104282.04</v>
      </c>
      <c r="H49" s="478">
        <v>28508.69</v>
      </c>
      <c r="I49" s="478">
        <v>75773.350000000006</v>
      </c>
      <c r="J49" s="478">
        <v>1554.24</v>
      </c>
      <c r="K49" s="478">
        <v>74219.11</v>
      </c>
      <c r="L49" s="478">
        <v>16883.349999999999</v>
      </c>
      <c r="M49" s="437"/>
    </row>
    <row r="50" spans="1:13" ht="20.100000000000001" customHeight="1" x14ac:dyDescent="0.2">
      <c r="A50" s="410" t="str">
        <f t="shared" si="0"/>
        <v>174258-4-142</v>
      </c>
      <c r="B50" s="479">
        <v>174258</v>
      </c>
      <c r="C50" s="480">
        <v>4</v>
      </c>
      <c r="D50" s="481" t="s">
        <v>7</v>
      </c>
      <c r="E50" s="480">
        <v>142</v>
      </c>
      <c r="F50" s="482">
        <v>36923.71</v>
      </c>
      <c r="G50" s="482">
        <v>36255.89</v>
      </c>
      <c r="H50" s="482">
        <v>36255.89</v>
      </c>
      <c r="I50" s="482"/>
      <c r="J50" s="482"/>
      <c r="K50" s="482"/>
      <c r="L50" s="482">
        <v>667.82</v>
      </c>
      <c r="M50" s="438"/>
    </row>
    <row r="51" spans="1:13" ht="20.100000000000001" customHeight="1" x14ac:dyDescent="0.2">
      <c r="A51" s="410" t="str">
        <f t="shared" si="0"/>
        <v>174260-3-142</v>
      </c>
      <c r="B51" s="475">
        <v>174260</v>
      </c>
      <c r="C51" s="476">
        <v>3</v>
      </c>
      <c r="D51" s="477" t="s">
        <v>8</v>
      </c>
      <c r="E51" s="476">
        <v>142</v>
      </c>
      <c r="F51" s="478">
        <v>182592.09</v>
      </c>
      <c r="G51" s="478">
        <v>174606.57</v>
      </c>
      <c r="H51" s="478">
        <v>74617.52</v>
      </c>
      <c r="I51" s="478">
        <v>99989.05</v>
      </c>
      <c r="J51" s="478">
        <v>21343.59</v>
      </c>
      <c r="K51" s="478">
        <v>78645.460000000006</v>
      </c>
      <c r="L51" s="478">
        <v>7985.52</v>
      </c>
      <c r="M51" s="437"/>
    </row>
    <row r="52" spans="1:13" ht="20.100000000000001" customHeight="1" x14ac:dyDescent="0.2">
      <c r="A52" s="410" t="str">
        <f t="shared" si="0"/>
        <v>174261-3-142</v>
      </c>
      <c r="B52" s="479">
        <v>174261</v>
      </c>
      <c r="C52" s="480">
        <v>3</v>
      </c>
      <c r="D52" s="481" t="s">
        <v>8</v>
      </c>
      <c r="E52" s="480">
        <v>142</v>
      </c>
      <c r="F52" s="482">
        <v>5731943.6900000004</v>
      </c>
      <c r="G52" s="482">
        <v>5731943.6900000004</v>
      </c>
      <c r="H52" s="482">
        <v>5731943.6900000004</v>
      </c>
      <c r="I52" s="482"/>
      <c r="J52" s="482"/>
      <c r="K52" s="482"/>
      <c r="L52" s="482">
        <v>0</v>
      </c>
      <c r="M52" s="438"/>
    </row>
    <row r="53" spans="1:13" ht="20.100000000000001" customHeight="1" x14ac:dyDescent="0.2">
      <c r="A53" s="410" t="str">
        <f t="shared" si="0"/>
        <v>174262-3-142</v>
      </c>
      <c r="B53" s="475">
        <v>174262</v>
      </c>
      <c r="C53" s="476">
        <v>3</v>
      </c>
      <c r="D53" s="477" t="s">
        <v>8</v>
      </c>
      <c r="E53" s="476">
        <v>142</v>
      </c>
      <c r="F53" s="478">
        <v>14262.66</v>
      </c>
      <c r="G53" s="478">
        <v>14167.06</v>
      </c>
      <c r="H53" s="478">
        <v>5847.9</v>
      </c>
      <c r="I53" s="478">
        <v>8319.16</v>
      </c>
      <c r="J53" s="478">
        <v>108.63</v>
      </c>
      <c r="K53" s="478">
        <v>8210.5300000000007</v>
      </c>
      <c r="L53" s="478">
        <v>95.6</v>
      </c>
      <c r="M53" s="437"/>
    </row>
    <row r="54" spans="1:13" ht="20.100000000000001" customHeight="1" x14ac:dyDescent="0.2">
      <c r="A54" s="410" t="str">
        <f t="shared" si="0"/>
        <v>174263-3-142</v>
      </c>
      <c r="B54" s="479">
        <v>174263</v>
      </c>
      <c r="C54" s="480">
        <v>3</v>
      </c>
      <c r="D54" s="481" t="s">
        <v>8</v>
      </c>
      <c r="E54" s="480">
        <v>142</v>
      </c>
      <c r="F54" s="482">
        <v>31205.35</v>
      </c>
      <c r="G54" s="482">
        <v>26636.400000000001</v>
      </c>
      <c r="H54" s="482">
        <v>937.67</v>
      </c>
      <c r="I54" s="482">
        <v>25698.73</v>
      </c>
      <c r="J54" s="482">
        <v>8955.83</v>
      </c>
      <c r="K54" s="482">
        <v>16742.900000000001</v>
      </c>
      <c r="L54" s="482">
        <v>4568.95</v>
      </c>
      <c r="M54" s="438"/>
    </row>
    <row r="55" spans="1:13" ht="20.100000000000001" customHeight="1" x14ac:dyDescent="0.2">
      <c r="A55" s="410" t="str">
        <f t="shared" si="0"/>
        <v>174264-3-142</v>
      </c>
      <c r="B55" s="475">
        <v>174264</v>
      </c>
      <c r="C55" s="476">
        <v>3</v>
      </c>
      <c r="D55" s="477" t="s">
        <v>8</v>
      </c>
      <c r="E55" s="476">
        <v>142</v>
      </c>
      <c r="F55" s="478">
        <v>311924.44</v>
      </c>
      <c r="G55" s="478">
        <v>288164.53999999998</v>
      </c>
      <c r="H55" s="478">
        <v>45734.41</v>
      </c>
      <c r="I55" s="478">
        <v>242430.13</v>
      </c>
      <c r="J55" s="478">
        <v>110979.28</v>
      </c>
      <c r="K55" s="478">
        <v>131450.85</v>
      </c>
      <c r="L55" s="478">
        <v>23759.9</v>
      </c>
      <c r="M55" s="437"/>
    </row>
    <row r="56" spans="1:13" ht="20.100000000000001" customHeight="1" x14ac:dyDescent="0.2">
      <c r="A56" s="410" t="str">
        <f t="shared" si="0"/>
        <v>174264-4-142</v>
      </c>
      <c r="B56" s="479">
        <v>174264</v>
      </c>
      <c r="C56" s="480">
        <v>4</v>
      </c>
      <c r="D56" s="481" t="s">
        <v>7</v>
      </c>
      <c r="E56" s="480">
        <v>142</v>
      </c>
      <c r="F56" s="482">
        <v>48690.11</v>
      </c>
      <c r="G56" s="482">
        <v>48690.11</v>
      </c>
      <c r="H56" s="482">
        <v>48690.11</v>
      </c>
      <c r="I56" s="482"/>
      <c r="J56" s="482"/>
      <c r="K56" s="482"/>
      <c r="L56" s="482">
        <v>0</v>
      </c>
      <c r="M56" s="438"/>
    </row>
    <row r="57" spans="1:13" ht="20.100000000000001" customHeight="1" x14ac:dyDescent="0.2">
      <c r="A57" s="410" t="str">
        <f t="shared" si="0"/>
        <v>174265-3-142</v>
      </c>
      <c r="B57" s="475">
        <v>174265</v>
      </c>
      <c r="C57" s="476">
        <v>3</v>
      </c>
      <c r="D57" s="477" t="s">
        <v>8</v>
      </c>
      <c r="E57" s="476">
        <v>142</v>
      </c>
      <c r="F57" s="478">
        <v>108516.73</v>
      </c>
      <c r="G57" s="478">
        <v>49121.23</v>
      </c>
      <c r="H57" s="478">
        <v>2930</v>
      </c>
      <c r="I57" s="478">
        <v>46191.23</v>
      </c>
      <c r="J57" s="478">
        <v>14342.98</v>
      </c>
      <c r="K57" s="478">
        <v>31848.25</v>
      </c>
      <c r="L57" s="478">
        <v>59395.5</v>
      </c>
      <c r="M57" s="437"/>
    </row>
    <row r="58" spans="1:13" ht="20.100000000000001" customHeight="1" x14ac:dyDescent="0.2">
      <c r="A58" s="410" t="str">
        <f t="shared" si="0"/>
        <v>174267-3-142</v>
      </c>
      <c r="B58" s="479">
        <v>174267</v>
      </c>
      <c r="C58" s="480">
        <v>3</v>
      </c>
      <c r="D58" s="481" t="s">
        <v>8</v>
      </c>
      <c r="E58" s="480">
        <v>142</v>
      </c>
      <c r="F58" s="482">
        <v>13833.77</v>
      </c>
      <c r="G58" s="482">
        <v>13733.77</v>
      </c>
      <c r="H58" s="482">
        <v>1000.24</v>
      </c>
      <c r="I58" s="482">
        <v>12733.53</v>
      </c>
      <c r="J58" s="482">
        <v>4725.41</v>
      </c>
      <c r="K58" s="482">
        <v>8008.12</v>
      </c>
      <c r="L58" s="482">
        <v>100</v>
      </c>
      <c r="M58" s="438"/>
    </row>
    <row r="59" spans="1:13" ht="20.100000000000001" customHeight="1" x14ac:dyDescent="0.2">
      <c r="A59" s="410" t="str">
        <f t="shared" si="0"/>
        <v>174268-3-142</v>
      </c>
      <c r="B59" s="475">
        <v>174268</v>
      </c>
      <c r="C59" s="476">
        <v>3</v>
      </c>
      <c r="D59" s="477" t="s">
        <v>8</v>
      </c>
      <c r="E59" s="476">
        <v>142</v>
      </c>
      <c r="F59" s="478">
        <v>132247.98000000001</v>
      </c>
      <c r="G59" s="478">
        <v>121635.51</v>
      </c>
      <c r="H59" s="478">
        <v>77559.34</v>
      </c>
      <c r="I59" s="478">
        <v>44076.17</v>
      </c>
      <c r="J59" s="478">
        <v>8692.02</v>
      </c>
      <c r="K59" s="478">
        <v>35384.15</v>
      </c>
      <c r="L59" s="478">
        <v>10612.47</v>
      </c>
      <c r="M59" s="437"/>
    </row>
    <row r="60" spans="1:13" ht="20.100000000000001" customHeight="1" x14ac:dyDescent="0.2">
      <c r="A60" s="410" t="str">
        <f t="shared" si="0"/>
        <v>174269-3-142</v>
      </c>
      <c r="B60" s="479">
        <v>174269</v>
      </c>
      <c r="C60" s="480">
        <v>3</v>
      </c>
      <c r="D60" s="481" t="s">
        <v>8</v>
      </c>
      <c r="E60" s="480">
        <v>142</v>
      </c>
      <c r="F60" s="482">
        <v>353013.87</v>
      </c>
      <c r="G60" s="482">
        <v>318360.3</v>
      </c>
      <c r="H60" s="482">
        <v>61880.76</v>
      </c>
      <c r="I60" s="482">
        <v>256479.54</v>
      </c>
      <c r="J60" s="482">
        <v>33398.74</v>
      </c>
      <c r="K60" s="482">
        <v>223080.8</v>
      </c>
      <c r="L60" s="482">
        <v>34653.57</v>
      </c>
      <c r="M60" s="438"/>
    </row>
    <row r="61" spans="1:13" ht="20.100000000000001" customHeight="1" x14ac:dyDescent="0.2">
      <c r="A61" s="410" t="str">
        <f t="shared" si="0"/>
        <v>174270-3-142</v>
      </c>
      <c r="B61" s="475">
        <v>174270</v>
      </c>
      <c r="C61" s="476">
        <v>3</v>
      </c>
      <c r="D61" s="477" t="s">
        <v>8</v>
      </c>
      <c r="E61" s="476">
        <v>142</v>
      </c>
      <c r="F61" s="478">
        <v>171607.9</v>
      </c>
      <c r="G61" s="478">
        <v>168019.55</v>
      </c>
      <c r="H61" s="478">
        <v>164035.16</v>
      </c>
      <c r="I61" s="478">
        <v>3984.39</v>
      </c>
      <c r="J61" s="478">
        <v>2216.2399999999998</v>
      </c>
      <c r="K61" s="478">
        <v>1768.15</v>
      </c>
      <c r="L61" s="478">
        <v>3588.35</v>
      </c>
      <c r="M61" s="437"/>
    </row>
    <row r="62" spans="1:13" ht="20.100000000000001" customHeight="1" x14ac:dyDescent="0.2">
      <c r="A62" s="410" t="str">
        <f t="shared" si="0"/>
        <v>174271-3-142</v>
      </c>
      <c r="B62" s="479">
        <v>174271</v>
      </c>
      <c r="C62" s="480">
        <v>3</v>
      </c>
      <c r="D62" s="481" t="s">
        <v>8</v>
      </c>
      <c r="E62" s="480">
        <v>142</v>
      </c>
      <c r="F62" s="482">
        <v>109526.26</v>
      </c>
      <c r="G62" s="482">
        <v>68697.73</v>
      </c>
      <c r="H62" s="482">
        <v>29817.84</v>
      </c>
      <c r="I62" s="482">
        <v>38879.89</v>
      </c>
      <c r="J62" s="482">
        <v>1297.04</v>
      </c>
      <c r="K62" s="482">
        <v>37582.85</v>
      </c>
      <c r="L62" s="482">
        <v>40828.53</v>
      </c>
      <c r="M62" s="438"/>
    </row>
    <row r="63" spans="1:13" ht="20.100000000000001" customHeight="1" x14ac:dyDescent="0.2">
      <c r="A63" s="410" t="str">
        <f t="shared" si="0"/>
        <v>174272-3-142</v>
      </c>
      <c r="B63" s="475">
        <v>174272</v>
      </c>
      <c r="C63" s="476">
        <v>3</v>
      </c>
      <c r="D63" s="477" t="s">
        <v>8</v>
      </c>
      <c r="E63" s="476">
        <v>142</v>
      </c>
      <c r="F63" s="478">
        <v>127963.89</v>
      </c>
      <c r="G63" s="478">
        <v>96914.67</v>
      </c>
      <c r="H63" s="478">
        <v>55761.93</v>
      </c>
      <c r="I63" s="478">
        <v>41152.74</v>
      </c>
      <c r="J63" s="478">
        <v>2651.78</v>
      </c>
      <c r="K63" s="478">
        <v>38500.959999999999</v>
      </c>
      <c r="L63" s="478">
        <v>31049.22</v>
      </c>
      <c r="M63" s="437"/>
    </row>
    <row r="64" spans="1:13" ht="20.100000000000001" customHeight="1" x14ac:dyDescent="0.2">
      <c r="A64" s="410" t="str">
        <f t="shared" si="0"/>
        <v>174273-3-142</v>
      </c>
      <c r="B64" s="479">
        <v>174273</v>
      </c>
      <c r="C64" s="480">
        <v>3</v>
      </c>
      <c r="D64" s="481" t="s">
        <v>8</v>
      </c>
      <c r="E64" s="480">
        <v>142</v>
      </c>
      <c r="F64" s="482">
        <v>1000000</v>
      </c>
      <c r="G64" s="482">
        <v>1000000</v>
      </c>
      <c r="H64" s="482">
        <v>1000000</v>
      </c>
      <c r="I64" s="482"/>
      <c r="J64" s="482"/>
      <c r="K64" s="482"/>
      <c r="L64" s="482">
        <v>0</v>
      </c>
      <c r="M64" s="438"/>
    </row>
    <row r="65" spans="1:13" ht="20.100000000000001" customHeight="1" x14ac:dyDescent="0.2">
      <c r="A65" s="410" t="str">
        <f t="shared" si="0"/>
        <v>195063-3-100</v>
      </c>
      <c r="B65" s="475">
        <v>195063</v>
      </c>
      <c r="C65" s="476">
        <v>3</v>
      </c>
      <c r="D65" s="477" t="s">
        <v>8</v>
      </c>
      <c r="E65" s="476">
        <v>100</v>
      </c>
      <c r="F65" s="478">
        <v>298377.92</v>
      </c>
      <c r="G65" s="478">
        <v>271681.61</v>
      </c>
      <c r="H65" s="478">
        <v>8996.42</v>
      </c>
      <c r="I65" s="478">
        <v>262685.19</v>
      </c>
      <c r="J65" s="478">
        <v>0</v>
      </c>
      <c r="K65" s="478">
        <v>262685.19</v>
      </c>
      <c r="L65" s="478">
        <v>26696.31</v>
      </c>
      <c r="M65" s="437"/>
    </row>
    <row r="66" spans="1:13" ht="20.100000000000001" customHeight="1" x14ac:dyDescent="0.2">
      <c r="A66" s="410" t="str">
        <f t="shared" si="0"/>
        <v>195065-3-100</v>
      </c>
      <c r="B66" s="479">
        <v>195065</v>
      </c>
      <c r="C66" s="480">
        <v>3</v>
      </c>
      <c r="D66" s="481" t="s">
        <v>8</v>
      </c>
      <c r="E66" s="480">
        <v>100</v>
      </c>
      <c r="F66" s="482">
        <v>19776.560000000001</v>
      </c>
      <c r="G66" s="482">
        <v>19344.07</v>
      </c>
      <c r="H66" s="482">
        <v>3407.66</v>
      </c>
      <c r="I66" s="482">
        <v>15936.41</v>
      </c>
      <c r="J66" s="482">
        <v>47.63</v>
      </c>
      <c r="K66" s="482">
        <v>15888.78</v>
      </c>
      <c r="L66" s="482">
        <v>432.49</v>
      </c>
      <c r="M66" s="438"/>
    </row>
    <row r="67" spans="1:13" ht="20.100000000000001" customHeight="1" x14ac:dyDescent="0.2">
      <c r="A67" s="410" t="str">
        <f t="shared" si="0"/>
        <v>195067-3-100</v>
      </c>
      <c r="B67" s="475">
        <v>195067</v>
      </c>
      <c r="C67" s="476">
        <v>3</v>
      </c>
      <c r="D67" s="477" t="s">
        <v>8</v>
      </c>
      <c r="E67" s="476">
        <v>100</v>
      </c>
      <c r="F67" s="478">
        <v>3703801.02</v>
      </c>
      <c r="G67" s="478">
        <v>3703801.02</v>
      </c>
      <c r="H67" s="478">
        <v>0</v>
      </c>
      <c r="I67" s="478">
        <v>3703801.02</v>
      </c>
      <c r="J67" s="478">
        <v>0</v>
      </c>
      <c r="K67" s="478">
        <v>3703801.02</v>
      </c>
      <c r="L67" s="478">
        <v>0</v>
      </c>
      <c r="M67" s="437"/>
    </row>
    <row r="68" spans="1:13" ht="20.100000000000001" customHeight="1" x14ac:dyDescent="0.2">
      <c r="A68" s="410" t="str">
        <f t="shared" si="0"/>
        <v>204816-3-181</v>
      </c>
      <c r="B68" s="479">
        <v>204816</v>
      </c>
      <c r="C68" s="480">
        <v>3</v>
      </c>
      <c r="D68" s="481" t="s">
        <v>8</v>
      </c>
      <c r="E68" s="480">
        <v>181</v>
      </c>
      <c r="F68" s="482">
        <v>44736.77</v>
      </c>
      <c r="G68" s="482">
        <v>43850.57</v>
      </c>
      <c r="H68" s="482">
        <v>500</v>
      </c>
      <c r="I68" s="482">
        <v>43350.57</v>
      </c>
      <c r="J68" s="482">
        <v>0</v>
      </c>
      <c r="K68" s="482">
        <v>43350.57</v>
      </c>
      <c r="L68" s="482">
        <v>886.2</v>
      </c>
      <c r="M68" s="438"/>
    </row>
    <row r="69" spans="1:13" ht="20.100000000000001" customHeight="1" x14ac:dyDescent="0.2">
      <c r="A69" s="410" t="str">
        <f t="shared" si="0"/>
        <v>204817-3-181</v>
      </c>
      <c r="B69" s="475">
        <v>204817</v>
      </c>
      <c r="C69" s="476">
        <v>3</v>
      </c>
      <c r="D69" s="477" t="s">
        <v>8</v>
      </c>
      <c r="E69" s="476">
        <v>181</v>
      </c>
      <c r="F69" s="478">
        <v>29740.400000000001</v>
      </c>
      <c r="G69" s="478">
        <v>8770.7999999999993</v>
      </c>
      <c r="H69" s="478">
        <v>0</v>
      </c>
      <c r="I69" s="478">
        <v>8770.7999999999993</v>
      </c>
      <c r="J69" s="478">
        <v>0</v>
      </c>
      <c r="K69" s="478">
        <v>8770.7999999999993</v>
      </c>
      <c r="L69" s="478">
        <v>20969.599999999999</v>
      </c>
      <c r="M69" s="438"/>
    </row>
    <row r="70" spans="1:13" ht="20.100000000000001" customHeight="1" x14ac:dyDescent="0.2">
      <c r="B70" s="483" t="s">
        <v>9</v>
      </c>
      <c r="C70" s="495"/>
      <c r="D70" s="495"/>
      <c r="E70" s="483"/>
      <c r="F70" s="484">
        <v>132021772.22</v>
      </c>
      <c r="G70" s="484">
        <v>122603969.62</v>
      </c>
      <c r="H70" s="484">
        <v>18431144.859999999</v>
      </c>
      <c r="I70" s="484">
        <v>104172824.76000001</v>
      </c>
      <c r="J70" s="484">
        <v>10583113.75</v>
      </c>
      <c r="K70" s="484">
        <v>93589711.010000005</v>
      </c>
      <c r="L70" s="484">
        <v>9621425.75</v>
      </c>
      <c r="M70" s="436"/>
    </row>
    <row r="72" spans="1:13" ht="20.100000000000001" customHeight="1" x14ac:dyDescent="0.2">
      <c r="G72" s="458">
        <f>G70-'Execução Orçamentária'!R411</f>
        <v>0</v>
      </c>
      <c r="I72" s="458">
        <f>I70-'Execução Orçamentária'!S411</f>
        <v>0</v>
      </c>
      <c r="K72" s="458">
        <f>K70-'Execução Orçamentária'!T411</f>
        <v>0</v>
      </c>
    </row>
    <row r="75" spans="1:13" ht="20.100000000000001" customHeight="1" x14ac:dyDescent="0.2">
      <c r="I75" s="459"/>
    </row>
  </sheetData>
  <autoFilter ref="A4:M70">
    <filterColumn colId="2" showButton="0"/>
  </autoFilter>
  <mergeCells count="13">
    <mergeCell ref="C70:D70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E15" sqref="E15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502" t="s">
        <v>62</v>
      </c>
      <c r="C3" s="503"/>
      <c r="D3" s="502" t="s">
        <v>63</v>
      </c>
      <c r="E3" s="464" t="s">
        <v>123</v>
      </c>
      <c r="F3" s="460" t="s">
        <v>121</v>
      </c>
    </row>
    <row r="4" spans="1:9" ht="41.45" customHeight="1" x14ac:dyDescent="0.2">
      <c r="B4" s="502"/>
      <c r="C4" s="503"/>
      <c r="D4" s="502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68">
        <v>104923.15</v>
      </c>
    </row>
    <row r="6" spans="1:9" ht="20.100000000000001" customHeight="1" x14ac:dyDescent="0.2">
      <c r="A6" s="410" t="str">
        <f t="shared" si="0"/>
        <v>174237-3-142</v>
      </c>
      <c r="B6" s="469">
        <v>174237</v>
      </c>
      <c r="C6" s="470">
        <v>3</v>
      </c>
      <c r="D6" s="471" t="s">
        <v>8</v>
      </c>
      <c r="E6" s="470">
        <v>142</v>
      </c>
      <c r="F6" s="472">
        <v>98700</v>
      </c>
    </row>
    <row r="7" spans="1:9" ht="20.100000000000001" customHeight="1" x14ac:dyDescent="0.2">
      <c r="B7" s="473" t="s">
        <v>9</v>
      </c>
      <c r="C7" s="504"/>
      <c r="D7" s="504"/>
      <c r="E7" s="473"/>
      <c r="F7" s="474">
        <v>203623.15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3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4" sqref="U4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09"/>
      <c r="I1" s="509"/>
      <c r="J1" s="509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44652</v>
      </c>
      <c r="V4" s="379"/>
    </row>
    <row r="5" spans="1:33" s="10" customFormat="1" ht="15" customHeight="1" thickTop="1" x14ac:dyDescent="0.2">
      <c r="A5" s="91"/>
      <c r="B5" s="419"/>
      <c r="C5" s="510" t="s">
        <v>59</v>
      </c>
      <c r="D5" s="513" t="s">
        <v>0</v>
      </c>
      <c r="E5" s="510" t="s">
        <v>15</v>
      </c>
      <c r="F5" s="516" t="s">
        <v>16</v>
      </c>
      <c r="G5" s="510" t="s">
        <v>220</v>
      </c>
      <c r="H5" s="507" t="s">
        <v>347</v>
      </c>
      <c r="I5" s="507" t="s">
        <v>65</v>
      </c>
      <c r="J5" s="507" t="s">
        <v>345</v>
      </c>
      <c r="K5" s="507" t="s">
        <v>84</v>
      </c>
      <c r="L5" s="507" t="s">
        <v>346</v>
      </c>
      <c r="M5" s="507" t="s">
        <v>309</v>
      </c>
      <c r="N5" s="507" t="s">
        <v>301</v>
      </c>
      <c r="O5" s="507" t="s">
        <v>17</v>
      </c>
      <c r="P5" s="507" t="s">
        <v>18</v>
      </c>
      <c r="Q5" s="380"/>
      <c r="R5" s="507" t="s">
        <v>19</v>
      </c>
      <c r="S5" s="507" t="s">
        <v>20</v>
      </c>
      <c r="T5" s="507" t="s">
        <v>61</v>
      </c>
      <c r="U5" s="505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11"/>
      <c r="D6" s="514"/>
      <c r="E6" s="511"/>
      <c r="F6" s="517"/>
      <c r="G6" s="511"/>
      <c r="H6" s="508"/>
      <c r="I6" s="508"/>
      <c r="J6" s="508"/>
      <c r="K6" s="508"/>
      <c r="L6" s="508"/>
      <c r="M6" s="508"/>
      <c r="N6" s="508"/>
      <c r="O6" s="508"/>
      <c r="P6" s="508"/>
      <c r="Q6" s="380"/>
      <c r="R6" s="508"/>
      <c r="S6" s="508"/>
      <c r="T6" s="508"/>
      <c r="U6" s="506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11"/>
      <c r="D7" s="514"/>
      <c r="E7" s="511"/>
      <c r="F7" s="517"/>
      <c r="G7" s="511"/>
      <c r="H7" s="508"/>
      <c r="I7" s="508"/>
      <c r="J7" s="508"/>
      <c r="K7" s="508"/>
      <c r="L7" s="508"/>
      <c r="M7" s="508"/>
      <c r="N7" s="508"/>
      <c r="O7" s="508"/>
      <c r="P7" s="508"/>
      <c r="Q7" s="380"/>
      <c r="R7" s="508"/>
      <c r="S7" s="508"/>
      <c r="T7" s="508"/>
      <c r="U7" s="506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12"/>
      <c r="D8" s="515"/>
      <c r="E8" s="512"/>
      <c r="F8" s="518"/>
      <c r="G8" s="512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0</v>
      </c>
      <c r="L9" s="26">
        <f t="shared" si="0"/>
        <v>1910000</v>
      </c>
      <c r="M9" s="26">
        <f t="shared" si="0"/>
        <v>1050000</v>
      </c>
      <c r="N9" s="26">
        <f t="shared" si="0"/>
        <v>860000</v>
      </c>
      <c r="O9" s="26">
        <f t="shared" si="0"/>
        <v>405308.62</v>
      </c>
      <c r="P9" s="26">
        <f t="shared" si="0"/>
        <v>454691.38</v>
      </c>
      <c r="Q9" s="35">
        <f>SUM(Q11:Q12)</f>
        <v>0</v>
      </c>
      <c r="R9" s="26">
        <f t="shared" si="0"/>
        <v>405308.62</v>
      </c>
      <c r="S9" s="26">
        <f t="shared" si="0"/>
        <v>405308.62</v>
      </c>
      <c r="T9" s="26">
        <f t="shared" si="0"/>
        <v>405308.62</v>
      </c>
      <c r="U9" s="156">
        <f>+IFERROR((R9/N9),0%)</f>
        <v>0.47128909302325583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1000000</v>
      </c>
      <c r="N11" s="31">
        <f t="shared" si="1"/>
        <v>800000</v>
      </c>
      <c r="O11" s="31">
        <f t="shared" si="1"/>
        <v>392247.67</v>
      </c>
      <c r="P11" s="31">
        <f t="shared" si="1"/>
        <v>407752.33</v>
      </c>
      <c r="Q11" s="23">
        <f t="shared" ref="Q11:T12" si="2">Q16+Q21+Q26</f>
        <v>0</v>
      </c>
      <c r="R11" s="31">
        <f t="shared" si="2"/>
        <v>392247.67</v>
      </c>
      <c r="S11" s="31">
        <f t="shared" si="2"/>
        <v>392247.67</v>
      </c>
      <c r="T11" s="31">
        <f t="shared" si="2"/>
        <v>392247.67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0</v>
      </c>
      <c r="L12" s="31">
        <f t="shared" si="3"/>
        <v>110000</v>
      </c>
      <c r="M12" s="31">
        <f t="shared" si="3"/>
        <v>50000</v>
      </c>
      <c r="N12" s="31">
        <f t="shared" si="3"/>
        <v>60000</v>
      </c>
      <c r="O12" s="31">
        <f t="shared" si="3"/>
        <v>13060.95</v>
      </c>
      <c r="P12" s="31">
        <f>P17+P22+P27</f>
        <v>46939.05</v>
      </c>
      <c r="Q12" s="23">
        <f t="shared" si="2"/>
        <v>0</v>
      </c>
      <c r="R12" s="31">
        <f t="shared" si="2"/>
        <v>13060.95</v>
      </c>
      <c r="S12" s="31">
        <f t="shared" si="2"/>
        <v>13060.95</v>
      </c>
      <c r="T12" s="31">
        <f t="shared" si="2"/>
        <v>13060.95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0</v>
      </c>
      <c r="L15" s="21">
        <f t="shared" si="4"/>
        <v>1050000</v>
      </c>
      <c r="M15" s="21">
        <f t="shared" si="4"/>
        <v>1050000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0</v>
      </c>
      <c r="L16" s="32">
        <f>IFERROR(VLOOKUP(G16,'Base Zero'!$A:$L,10,FALSE),0)</f>
        <v>1000000</v>
      </c>
      <c r="M16" s="32">
        <f>+L16-N16</f>
        <v>1000000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0</v>
      </c>
      <c r="L20" s="21">
        <f t="shared" si="5"/>
        <v>550000</v>
      </c>
      <c r="M20" s="21">
        <f t="shared" si="5"/>
        <v>0</v>
      </c>
      <c r="N20" s="21">
        <f t="shared" si="5"/>
        <v>550000</v>
      </c>
      <c r="O20" s="21">
        <f t="shared" si="5"/>
        <v>383335.02</v>
      </c>
      <c r="P20" s="228">
        <f t="shared" si="5"/>
        <v>166664.97999999998</v>
      </c>
      <c r="Q20" s="21">
        <f t="shared" si="5"/>
        <v>0</v>
      </c>
      <c r="R20" s="21">
        <f t="shared" si="5"/>
        <v>383335.02</v>
      </c>
      <c r="S20" s="21">
        <f t="shared" si="5"/>
        <v>383335.02</v>
      </c>
      <c r="T20" s="21">
        <f t="shared" si="5"/>
        <v>383335.02</v>
      </c>
      <c r="U20" s="154">
        <f>+IFERROR((R20/N20),0%)</f>
        <v>0.69697276363636362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0</v>
      </c>
      <c r="L21" s="32">
        <f>IFERROR(VLOOKUP(G21,'Base Zero'!$A:$L,10,FALSE),0)</f>
        <v>500000</v>
      </c>
      <c r="M21" s="32">
        <f>+L21-N21</f>
        <v>0</v>
      </c>
      <c r="N21" s="32">
        <f>IFERROR(VLOOKUP(G21,'Base Zero'!$A:$P,16,FALSE),0)</f>
        <v>500000</v>
      </c>
      <c r="O21" s="32">
        <f>IFERROR(VLOOKUP(G21,'Base Execução'!A:M,6,FALSE),0)+IFERROR(VLOOKUP(G21,'Destaque Liberado pela CPRM'!A:F,6,FALSE),0)</f>
        <v>370274.07</v>
      </c>
      <c r="P21" s="231">
        <f>+N21-O21</f>
        <v>129725.93</v>
      </c>
      <c r="Q21" s="32"/>
      <c r="R21" s="231">
        <f>IFERROR(VLOOKUP(G21,'Base Execução'!$A:$K,7,FALSE),0)</f>
        <v>370274.07</v>
      </c>
      <c r="S21" s="231">
        <f>IFERROR(VLOOKUP(G21,'Base Execução'!$A:$K,9,FALSE),0)</f>
        <v>370274.07</v>
      </c>
      <c r="T21" s="32">
        <f>IFERROR(VLOOKUP(G21,'Base Execução'!$A:$K,11,FALSE),0)</f>
        <v>370274.07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0</v>
      </c>
      <c r="L22" s="32">
        <f>IFERROR(VLOOKUP(G22,'Base Zero'!$A:$L,10,FALSE),0)</f>
        <v>50000</v>
      </c>
      <c r="M22" s="32">
        <f>+L22-N22</f>
        <v>0</v>
      </c>
      <c r="N22" s="32">
        <f>IFERROR(VLOOKUP(G22,'Base Zero'!$A:$P,16,FALSE),0)</f>
        <v>50000</v>
      </c>
      <c r="O22" s="32">
        <f>IFERROR(VLOOKUP(G22,'Base Execução'!A:M,6,FALSE),0)+IFERROR(VLOOKUP(G22,'Destaque Liberado pela CPRM'!A:F,6,FALSE),0)</f>
        <v>13060.95</v>
      </c>
      <c r="P22" s="231">
        <f>+N22-O22</f>
        <v>36939.050000000003</v>
      </c>
      <c r="Q22" s="32"/>
      <c r="R22" s="231">
        <f>IFERROR(VLOOKUP(G22,'Base Execução'!$A:$K,7,FALSE),0)</f>
        <v>13060.95</v>
      </c>
      <c r="S22" s="231">
        <f>IFERROR(VLOOKUP(G22,'Base Execução'!$A:$K,9,FALSE),0)</f>
        <v>13060.95</v>
      </c>
      <c r="T22" s="32">
        <f>IFERROR(VLOOKUP(G22,'Base Execução'!$A:$K,11,FALSE),0)</f>
        <v>13060.95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21973.599999999999</v>
      </c>
      <c r="P25" s="228">
        <f t="shared" si="6"/>
        <v>288026.40000000002</v>
      </c>
      <c r="Q25" s="21">
        <f t="shared" si="6"/>
        <v>0</v>
      </c>
      <c r="R25" s="21">
        <f t="shared" si="6"/>
        <v>21973.599999999999</v>
      </c>
      <c r="S25" s="21">
        <f t="shared" si="6"/>
        <v>21973.599999999999</v>
      </c>
      <c r="T25" s="21">
        <f t="shared" si="6"/>
        <v>21973.599999999999</v>
      </c>
      <c r="U25" s="154">
        <f>+IFERROR((R25/N25),0%)</f>
        <v>7.0882580645161286E-2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21973.599999999999</v>
      </c>
      <c r="P26" s="231">
        <f>+N26-O26</f>
        <v>278026.40000000002</v>
      </c>
      <c r="Q26" s="32"/>
      <c r="R26" s="231">
        <f>IFERROR(VLOOKUP(G26,'Base Execução'!$A:$K,7,FALSE),0)</f>
        <v>21973.599999999999</v>
      </c>
      <c r="S26" s="231">
        <f>IFERROR(VLOOKUP(G26,'Base Execução'!$A:$K,9,FALSE),0)</f>
        <v>21973.599999999999</v>
      </c>
      <c r="T26" s="32">
        <f>IFERROR(VLOOKUP(G26,'Base Execução'!$A:$K,11,FALSE),0)</f>
        <v>21973.599999999999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0</v>
      </c>
      <c r="L29" s="26">
        <f t="shared" si="7"/>
        <v>322868</v>
      </c>
      <c r="M29" s="26">
        <f t="shared" si="7"/>
        <v>0</v>
      </c>
      <c r="N29" s="26">
        <f t="shared" si="7"/>
        <v>322868</v>
      </c>
      <c r="O29" s="26">
        <f t="shared" si="7"/>
        <v>81031.58</v>
      </c>
      <c r="P29" s="26">
        <f t="shared" si="7"/>
        <v>241836.41999999998</v>
      </c>
      <c r="Q29" s="22">
        <f t="shared" si="7"/>
        <v>0</v>
      </c>
      <c r="R29" s="26">
        <f t="shared" si="7"/>
        <v>81031.58</v>
      </c>
      <c r="S29" s="26">
        <f t="shared" si="7"/>
        <v>81031.58</v>
      </c>
      <c r="T29" s="26">
        <f t="shared" si="7"/>
        <v>81031.58</v>
      </c>
      <c r="U29" s="156">
        <f>+IFERROR((R29/N29),0%)</f>
        <v>0.2509743300667765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0</v>
      </c>
      <c r="L31" s="32">
        <f>L35</f>
        <v>322868</v>
      </c>
      <c r="M31" s="32">
        <f>M35</f>
        <v>0</v>
      </c>
      <c r="N31" s="32">
        <f>N35</f>
        <v>322868</v>
      </c>
      <c r="O31" s="32">
        <f t="shared" si="8"/>
        <v>81031.58</v>
      </c>
      <c r="P31" s="32">
        <f t="shared" si="8"/>
        <v>241836.41999999998</v>
      </c>
      <c r="Q31" s="32">
        <f t="shared" si="8"/>
        <v>0</v>
      </c>
      <c r="R31" s="32">
        <f t="shared" si="8"/>
        <v>81031.58</v>
      </c>
      <c r="S31" s="32">
        <f t="shared" si="8"/>
        <v>81031.58</v>
      </c>
      <c r="T31" s="32">
        <f t="shared" si="8"/>
        <v>81031.58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0</v>
      </c>
      <c r="L34" s="21">
        <f>L35</f>
        <v>322868</v>
      </c>
      <c r="M34" s="21">
        <f t="shared" si="9"/>
        <v>0</v>
      </c>
      <c r="N34" s="21">
        <f t="shared" si="9"/>
        <v>322868</v>
      </c>
      <c r="O34" s="21">
        <f t="shared" si="9"/>
        <v>81031.58</v>
      </c>
      <c r="P34" s="228">
        <f t="shared" si="9"/>
        <v>241836.41999999998</v>
      </c>
      <c r="Q34" s="21">
        <f t="shared" si="9"/>
        <v>0</v>
      </c>
      <c r="R34" s="21">
        <f t="shared" si="9"/>
        <v>81031.58</v>
      </c>
      <c r="S34" s="21">
        <f t="shared" si="9"/>
        <v>81031.58</v>
      </c>
      <c r="T34" s="21">
        <f t="shared" si="9"/>
        <v>81031.58</v>
      </c>
      <c r="U34" s="154">
        <f>+IFERROR((R34/N34),0%)</f>
        <v>0.2509743300667765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0</v>
      </c>
      <c r="L35" s="32">
        <f>IFERROR(VLOOKUP(G35,'Base Zero'!$A:$L,10,FALSE),0)</f>
        <v>322868</v>
      </c>
      <c r="M35" s="32">
        <f>+L35-N35</f>
        <v>0</v>
      </c>
      <c r="N35" s="32">
        <f>IFERROR(VLOOKUP(G35,'Base Zero'!$A:$P,16,FALSE),0)</f>
        <v>322868</v>
      </c>
      <c r="O35" s="32">
        <f>IFERROR(VLOOKUP(G35,'Base Execução'!A:M,6,FALSE),0)+IFERROR(VLOOKUP(G35,'Destaque Liberado pela CPRM'!A:F,6,FALSE),0)</f>
        <v>81031.58</v>
      </c>
      <c r="P35" s="231">
        <f>+N35-O35</f>
        <v>241836.41999999998</v>
      </c>
      <c r="Q35" s="32"/>
      <c r="R35" s="231">
        <f>IFERROR(VLOOKUP(G35,'Base Execução'!$A:$K,7,FALSE),0)</f>
        <v>81031.58</v>
      </c>
      <c r="S35" s="231">
        <f>IFERROR(VLOOKUP(G35,'Base Execução'!$A:$K,9,FALSE),0)</f>
        <v>81031.58</v>
      </c>
      <c r="T35" s="32">
        <f>IFERROR(VLOOKUP(G35,'Base Execução'!$A:$K,11,FALSE),0)</f>
        <v>81031.58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97006.89</v>
      </c>
      <c r="P37" s="230">
        <f t="shared" si="10"/>
        <v>137993.10999999999</v>
      </c>
      <c r="Q37" s="35"/>
      <c r="R37" s="230">
        <f>+R39</f>
        <v>97006.89</v>
      </c>
      <c r="S37" s="230">
        <f>+S39</f>
        <v>97006.89</v>
      </c>
      <c r="T37" s="26">
        <f>+T39</f>
        <v>97006.89</v>
      </c>
      <c r="U37" s="156">
        <f>+IFERROR((R37/N37),0%)</f>
        <v>0.41279527659574466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97006.89</v>
      </c>
      <c r="P39" s="31">
        <f t="shared" si="11"/>
        <v>137993.10999999999</v>
      </c>
      <c r="Q39" s="31">
        <f t="shared" si="11"/>
        <v>0</v>
      </c>
      <c r="R39" s="31">
        <f t="shared" si="11"/>
        <v>97006.89</v>
      </c>
      <c r="S39" s="31">
        <f t="shared" si="11"/>
        <v>97006.89</v>
      </c>
      <c r="T39" s="31">
        <f t="shared" si="11"/>
        <v>97006.89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0</v>
      </c>
      <c r="P51" s="229">
        <f t="shared" si="15"/>
        <v>50000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154">
        <f>+IFERROR((R51/N51),0%)</f>
        <v>0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0</v>
      </c>
      <c r="P52" s="254">
        <f>+N52-O52</f>
        <v>50000</v>
      </c>
      <c r="Q52" s="35"/>
      <c r="R52" s="231">
        <f>IFERROR(VLOOKUP(G52,'Base Execução'!$A:$K,7,FALSE),0)</f>
        <v>0</v>
      </c>
      <c r="S52" s="231">
        <f>IFERROR(VLOOKUP(G52,'Base Execução'!$A:$K,9,FALSE),0)</f>
        <v>0</v>
      </c>
      <c r="T52" s="32">
        <f>IFERROR(VLOOKUP(G52,'Base Execução'!$A:$K,11,FALSE),0)</f>
        <v>0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4271573.1900000004</v>
      </c>
      <c r="P65" s="26">
        <f t="shared" si="20"/>
        <v>30728426.810000002</v>
      </c>
      <c r="Q65" s="35">
        <f>SUM(Q69:Q72)</f>
        <v>0</v>
      </c>
      <c r="R65" s="26">
        <f t="shared" si="20"/>
        <v>4189943.4600000004</v>
      </c>
      <c r="S65" s="26">
        <f t="shared" si="20"/>
        <v>3225277.1100000003</v>
      </c>
      <c r="T65" s="26">
        <f t="shared" si="20"/>
        <v>2453518.5900000003</v>
      </c>
      <c r="U65" s="156">
        <f>+IFERROR((R65/N65),0%)</f>
        <v>0.11971267028571429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0</v>
      </c>
      <c r="P67" s="32">
        <f t="shared" si="22"/>
        <v>4950000</v>
      </c>
      <c r="Q67" s="319"/>
      <c r="R67" s="32">
        <f t="shared" si="22"/>
        <v>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0</v>
      </c>
      <c r="L69" s="32">
        <f t="shared" si="24"/>
        <v>28050000</v>
      </c>
      <c r="M69" s="32">
        <f t="shared" si="24"/>
        <v>0</v>
      </c>
      <c r="N69" s="32">
        <f t="shared" si="24"/>
        <v>28050000</v>
      </c>
      <c r="O69" s="32">
        <f t="shared" si="24"/>
        <v>4211896.2</v>
      </c>
      <c r="P69" s="231">
        <f t="shared" si="24"/>
        <v>23838103.800000001</v>
      </c>
      <c r="Q69" s="32">
        <f t="shared" si="24"/>
        <v>0</v>
      </c>
      <c r="R69" s="32">
        <f t="shared" si="24"/>
        <v>4130267.47</v>
      </c>
      <c r="S69" s="32">
        <f t="shared" si="24"/>
        <v>3184681.12</v>
      </c>
      <c r="T69" s="32">
        <f t="shared" si="24"/>
        <v>2412922.6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0</v>
      </c>
      <c r="L70" s="32">
        <f t="shared" si="25"/>
        <v>2000000</v>
      </c>
      <c r="M70" s="32">
        <f t="shared" si="25"/>
        <v>0</v>
      </c>
      <c r="N70" s="32">
        <f t="shared" si="25"/>
        <v>2000000</v>
      </c>
      <c r="O70" s="32">
        <f t="shared" si="25"/>
        <v>59676.99</v>
      </c>
      <c r="P70" s="231">
        <f t="shared" si="25"/>
        <v>1940323.01</v>
      </c>
      <c r="Q70" s="32">
        <f t="shared" si="25"/>
        <v>0</v>
      </c>
      <c r="R70" s="32">
        <f t="shared" si="25"/>
        <v>59675.99</v>
      </c>
      <c r="S70" s="32">
        <f t="shared" si="25"/>
        <v>40595.99</v>
      </c>
      <c r="T70" s="32">
        <f t="shared" si="25"/>
        <v>40595.99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4271573.1900000004</v>
      </c>
      <c r="P75" s="228">
        <f t="shared" si="28"/>
        <v>30728426.810000002</v>
      </c>
      <c r="Q75" s="21">
        <f>SUM(Q78:Q81)</f>
        <v>0</v>
      </c>
      <c r="R75" s="21">
        <f>SUM(R76:R81)</f>
        <v>4189943.4600000004</v>
      </c>
      <c r="S75" s="21">
        <f>SUM(S76:S81)</f>
        <v>3225277.1100000003</v>
      </c>
      <c r="T75" s="21">
        <f>SUM(T76:T81)</f>
        <v>2453518.5900000003</v>
      </c>
      <c r="U75" s="154">
        <f>+IFERROR((R75/N75),0%)</f>
        <v>0.11971267028571429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0</v>
      </c>
      <c r="P76" s="231">
        <f t="shared" ref="P76:P81" si="33">+N76-O76</f>
        <v>4950000</v>
      </c>
      <c r="Q76" s="21"/>
      <c r="R76" s="231">
        <f>IFERROR(VLOOKUP(G76,'Base Execução'!$A:$K,7,FALSE),0)</f>
        <v>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0</v>
      </c>
      <c r="L78" s="32">
        <f>IFERROR(VLOOKUP(G78,'Base Zero'!$A:$L,10,FALSE),0)</f>
        <v>28050000</v>
      </c>
      <c r="M78" s="32">
        <f t="shared" si="32"/>
        <v>0</v>
      </c>
      <c r="N78" s="32">
        <f>IFERROR(VLOOKUP(G78,'Base Zero'!$A:$P,16,FALSE),0)</f>
        <v>28050000</v>
      </c>
      <c r="O78" s="32">
        <f>IFERROR(VLOOKUP(G78,'Base Execução'!A:M,6,FALSE),0)+IFERROR(VLOOKUP(G78,'Destaque Liberado pela CPRM'!A:F,6,FALSE),0)</f>
        <v>4211896.2</v>
      </c>
      <c r="P78" s="231">
        <f t="shared" si="33"/>
        <v>23838103.800000001</v>
      </c>
      <c r="Q78" s="320"/>
      <c r="R78" s="231">
        <f>IFERROR(VLOOKUP(G78,'Base Execução'!$A:$K,7,FALSE),0)</f>
        <v>4130267.47</v>
      </c>
      <c r="S78" s="231">
        <f>IFERROR(VLOOKUP(G78,'Base Execução'!$A:$K,9,FALSE),0)</f>
        <v>3184681.12</v>
      </c>
      <c r="T78" s="32">
        <f>IFERROR(VLOOKUP(G78,'Base Execução'!$A:$K,11,FALSE),0)</f>
        <v>2412922.6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0</v>
      </c>
      <c r="L79" s="32">
        <f>IFERROR(VLOOKUP(G79,'Base Zero'!$A:$L,10,FALSE),0)</f>
        <v>2000000</v>
      </c>
      <c r="M79" s="32">
        <f t="shared" si="32"/>
        <v>0</v>
      </c>
      <c r="N79" s="32">
        <f>IFERROR(VLOOKUP(G79,'Base Zero'!$A:$P,16,FALSE),0)</f>
        <v>2000000</v>
      </c>
      <c r="O79" s="32">
        <f>IFERROR(VLOOKUP(G79,'Base Execução'!A:M,6,FALSE),0)+IFERROR(VLOOKUP(G79,'Destaque Liberado pela CPRM'!A:F,6,FALSE),0)</f>
        <v>59676.99</v>
      </c>
      <c r="P79" s="231">
        <f t="shared" si="33"/>
        <v>1940323.01</v>
      </c>
      <c r="Q79" s="320"/>
      <c r="R79" s="231">
        <f>IFERROR(VLOOKUP(G79,'Base Execução'!$A:$K,7,FALSE),0)</f>
        <v>59675.99</v>
      </c>
      <c r="S79" s="231">
        <f>IFERROR(VLOOKUP(G79,'Base Execução'!$A:$K,9,FALSE),0)</f>
        <v>40595.99</v>
      </c>
      <c r="T79" s="32">
        <f>IFERROR(VLOOKUP(G79,'Base Execução'!$A:$K,11,FALSE),0)</f>
        <v>40595.99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5013860.0200000005</v>
      </c>
      <c r="P83" s="26">
        <f t="shared" si="34"/>
        <v>21575246.98</v>
      </c>
      <c r="Q83" s="22">
        <f>Q85</f>
        <v>0</v>
      </c>
      <c r="R83" s="26">
        <f t="shared" si="34"/>
        <v>4976988.62</v>
      </c>
      <c r="S83" s="26">
        <f t="shared" si="34"/>
        <v>3966492.8000000003</v>
      </c>
      <c r="T83" s="26">
        <f t="shared" si="34"/>
        <v>3752710.87</v>
      </c>
      <c r="U83" s="156">
        <f>+IFERROR((R83/N83),0%)</f>
        <v>0.18718148826886138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5013860.0200000005</v>
      </c>
      <c r="P85" s="32">
        <f t="shared" si="35"/>
        <v>21575246.98</v>
      </c>
      <c r="Q85" s="32">
        <f t="shared" si="35"/>
        <v>0</v>
      </c>
      <c r="R85" s="32">
        <f t="shared" si="35"/>
        <v>4976988.62</v>
      </c>
      <c r="S85" s="32">
        <f t="shared" si="35"/>
        <v>3966492.8000000003</v>
      </c>
      <c r="T85" s="32">
        <f t="shared" si="35"/>
        <v>3752710.87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4757084.6100000003</v>
      </c>
      <c r="P89" s="21">
        <f t="shared" si="37"/>
        <v>20834055.390000001</v>
      </c>
      <c r="Q89" s="21">
        <f>Q90</f>
        <v>0</v>
      </c>
      <c r="R89" s="21">
        <f>SUM(R90:R91)</f>
        <v>4757084.6100000003</v>
      </c>
      <c r="S89" s="21">
        <f>SUM(S90:S91)</f>
        <v>3868501.49</v>
      </c>
      <c r="T89" s="21">
        <f>SUM(T90:T91)</f>
        <v>3661174.9</v>
      </c>
      <c r="U89" s="154">
        <f>+IFERROR((R89/N89),0%)</f>
        <v>0.18588795223659441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4757084.6100000003</v>
      </c>
      <c r="P90" s="231">
        <f>+N90-O90</f>
        <v>20834055.390000001</v>
      </c>
      <c r="Q90" s="32"/>
      <c r="R90" s="231">
        <f>IFERROR(VLOOKUP(G90,'Base Execução'!$A:$K,7,FALSE),0)</f>
        <v>4757084.6100000003</v>
      </c>
      <c r="S90" s="231">
        <f>IFERROR(VLOOKUP(G90,'Base Execução'!$A:$K,9,FALSE),0)</f>
        <v>3868501.49</v>
      </c>
      <c r="T90" s="32">
        <f>IFERROR(VLOOKUP(G90,'Base Execução'!$A:$K,11,FALSE),0)</f>
        <v>3661174.9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256775.41</v>
      </c>
      <c r="P93" s="228">
        <f t="shared" si="38"/>
        <v>741191.59</v>
      </c>
      <c r="Q93" s="21">
        <f t="shared" si="38"/>
        <v>0</v>
      </c>
      <c r="R93" s="21">
        <f t="shared" si="38"/>
        <v>219904.01</v>
      </c>
      <c r="S93" s="21">
        <f t="shared" si="38"/>
        <v>97991.31</v>
      </c>
      <c r="T93" s="21">
        <f t="shared" si="38"/>
        <v>91535.97</v>
      </c>
      <c r="U93" s="154">
        <f>+IFERROR((R93/N93),0%)</f>
        <v>0.22035198558669777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256775.41</v>
      </c>
      <c r="P94" s="231">
        <f>+N94-O94</f>
        <v>741191.59</v>
      </c>
      <c r="Q94" s="31"/>
      <c r="R94" s="231">
        <f>IFERROR(VLOOKUP(G94,'Base Execução'!$A:$K,7,FALSE),0)</f>
        <v>219904.01</v>
      </c>
      <c r="S94" s="231">
        <f>IFERROR(VLOOKUP(G94,'Base Execução'!$A:$K,9,FALSE),0)</f>
        <v>97991.31</v>
      </c>
      <c r="T94" s="32">
        <f>IFERROR(VLOOKUP(G94,'Base Execução'!$A:$K,11,FALSE),0)</f>
        <v>91535.97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4021955.5</v>
      </c>
      <c r="P96" s="26">
        <f>SUM(P98:P100)</f>
        <v>15789461.5</v>
      </c>
      <c r="Q96" s="22">
        <f>Q98</f>
        <v>0</v>
      </c>
      <c r="R96" s="26">
        <f t="shared" si="39"/>
        <v>3994826.7</v>
      </c>
      <c r="S96" s="26">
        <f t="shared" si="39"/>
        <v>3982422.62</v>
      </c>
      <c r="T96" s="26">
        <f t="shared" si="39"/>
        <v>3982374.99</v>
      </c>
      <c r="U96" s="156">
        <f>+IFERROR((R96/N96),0%)</f>
        <v>0.20164265382935506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4021955.5</v>
      </c>
      <c r="P98" s="32">
        <f>P104+P111+P118+P121</f>
        <v>15789461.5</v>
      </c>
      <c r="Q98" s="32">
        <f>Q104+Q111+Q118</f>
        <v>0</v>
      </c>
      <c r="R98" s="32">
        <f t="shared" si="40"/>
        <v>3994826.7</v>
      </c>
      <c r="S98" s="32">
        <f t="shared" si="40"/>
        <v>3982422.62</v>
      </c>
      <c r="T98" s="32">
        <f t="shared" si="40"/>
        <v>3982374.99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298377.92</v>
      </c>
      <c r="P102" s="21">
        <f t="shared" si="43"/>
        <v>1651124.08</v>
      </c>
      <c r="Q102" s="31"/>
      <c r="R102" s="21">
        <f>R103+R106</f>
        <v>271681.61</v>
      </c>
      <c r="S102" s="21">
        <f>S103+S106</f>
        <v>262685.19</v>
      </c>
      <c r="T102" s="21">
        <f>T103+T106</f>
        <v>262685.19</v>
      </c>
      <c r="U102" s="154">
        <f>+IFERROR((R102/N102),0%)</f>
        <v>0.13935949283458032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298377.92</v>
      </c>
      <c r="P103" s="228">
        <f>P104+P105</f>
        <v>1651124.08</v>
      </c>
      <c r="Q103" s="21">
        <f>Q104</f>
        <v>0</v>
      </c>
      <c r="R103" s="21">
        <f>R104+R105</f>
        <v>271681.61</v>
      </c>
      <c r="S103" s="21">
        <f>S104+S105</f>
        <v>262685.19</v>
      </c>
      <c r="T103" s="21">
        <f>T104+T105</f>
        <v>262685.19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298377.92</v>
      </c>
      <c r="P104" s="231">
        <f>+N104-O104</f>
        <v>1651124.08</v>
      </c>
      <c r="Q104" s="33"/>
      <c r="R104" s="231">
        <f>IFERROR(VLOOKUP(G104,'Base Execução'!$A:$K,7,FALSE),0)</f>
        <v>271681.61</v>
      </c>
      <c r="S104" s="231">
        <f>IFERROR(VLOOKUP(G104,'Base Execução'!$A:$K,9,FALSE),0)</f>
        <v>262685.19</v>
      </c>
      <c r="T104" s="32">
        <f>IFERROR(VLOOKUP(G104,'Base Execução'!$A:$K,11,FALSE),0)</f>
        <v>262685.19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19776.560000000001</v>
      </c>
      <c r="P109" s="21">
        <f t="shared" si="46"/>
        <v>213400.44</v>
      </c>
      <c r="Q109" s="33"/>
      <c r="R109" s="21">
        <f>R110+R113</f>
        <v>19344.07</v>
      </c>
      <c r="S109" s="21">
        <f>S110+S113</f>
        <v>15936.41</v>
      </c>
      <c r="T109" s="21">
        <f>T110+T113</f>
        <v>15888.78</v>
      </c>
      <c r="U109" s="154">
        <f>+IFERROR((R109/N109),0%)</f>
        <v>8.2958739498321013E-2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19776.560000000001</v>
      </c>
      <c r="P110" s="228">
        <f>P111+P112</f>
        <v>213400.44</v>
      </c>
      <c r="Q110" s="21">
        <f t="shared" si="47"/>
        <v>0</v>
      </c>
      <c r="R110" s="21">
        <f>R111+R112</f>
        <v>19344.07</v>
      </c>
      <c r="S110" s="21">
        <f>S111+S112</f>
        <v>15936.41</v>
      </c>
      <c r="T110" s="21">
        <f>T111+T112</f>
        <v>15888.78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19776.560000000001</v>
      </c>
      <c r="P111" s="231">
        <f>+N111-O111</f>
        <v>213400.44</v>
      </c>
      <c r="Q111" s="33"/>
      <c r="R111" s="231">
        <f>IFERROR(VLOOKUP(G111,'Base Execução'!$A:$K,7,FALSE),0)</f>
        <v>19344.07</v>
      </c>
      <c r="S111" s="231">
        <f>IFERROR(VLOOKUP(G111,'Base Execução'!$A:$K,9,FALSE),0)</f>
        <v>15936.41</v>
      </c>
      <c r="T111" s="32">
        <f>IFERROR(VLOOKUP(G111,'Base Execução'!$A:$K,11,FALSE),0)</f>
        <v>15888.78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3703801.02</v>
      </c>
      <c r="P116" s="21">
        <f t="shared" si="49"/>
        <v>13924936.98</v>
      </c>
      <c r="Q116" s="33"/>
      <c r="R116" s="21">
        <f>R117+R120</f>
        <v>3703801.02</v>
      </c>
      <c r="S116" s="21">
        <f>S117+S120</f>
        <v>3703801.02</v>
      </c>
      <c r="T116" s="21">
        <f>T117+T120</f>
        <v>3703801.02</v>
      </c>
      <c r="U116" s="154">
        <f>+IFERROR((R116/N116),0%)</f>
        <v>0.21010017960446176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3703801.02</v>
      </c>
      <c r="P117" s="228">
        <f>P118+P119</f>
        <v>13924936.98</v>
      </c>
      <c r="Q117" s="21">
        <f t="shared" si="50"/>
        <v>0</v>
      </c>
      <c r="R117" s="21">
        <f>R118+R119</f>
        <v>3703801.02</v>
      </c>
      <c r="S117" s="21">
        <f>S118+S119</f>
        <v>3703801.02</v>
      </c>
      <c r="T117" s="21">
        <f>T118+T119</f>
        <v>3703801.02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3703801.02</v>
      </c>
      <c r="P118" s="231">
        <f>+N118-O118</f>
        <v>13924936.98</v>
      </c>
      <c r="Q118" s="33"/>
      <c r="R118" s="231">
        <f>IFERROR(VLOOKUP(G118,'Base Execução'!$A:$K,7,FALSE),0)</f>
        <v>3703801.02</v>
      </c>
      <c r="S118" s="231">
        <f>IFERROR(VLOOKUP(G118,'Base Execução'!$A:$K,9,FALSE),0)</f>
        <v>3703801.02</v>
      </c>
      <c r="T118" s="32">
        <f>IFERROR(VLOOKUP(G118,'Base Execução'!$A:$K,11,FALSE),0)</f>
        <v>3703801.02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0</v>
      </c>
      <c r="L124" s="26">
        <f t="shared" si="52"/>
        <v>340226868</v>
      </c>
      <c r="M124" s="26">
        <f t="shared" si="52"/>
        <v>0</v>
      </c>
      <c r="N124" s="26">
        <f t="shared" si="52"/>
        <v>340226868</v>
      </c>
      <c r="O124" s="26">
        <f t="shared" si="52"/>
        <v>102391012.26000001</v>
      </c>
      <c r="P124" s="26">
        <f t="shared" si="52"/>
        <v>237835855.74000001</v>
      </c>
      <c r="Q124" s="22">
        <f>Q126</f>
        <v>0</v>
      </c>
      <c r="R124" s="26">
        <f t="shared" si="52"/>
        <v>93768797.829999998</v>
      </c>
      <c r="S124" s="26">
        <f t="shared" si="52"/>
        <v>87477791.629999995</v>
      </c>
      <c r="T124" s="26">
        <f t="shared" si="52"/>
        <v>79706563.920000002</v>
      </c>
      <c r="U124" s="156">
        <f>+IFERROR((R124/N124),0%)</f>
        <v>0.27560668086331147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0</v>
      </c>
      <c r="L126" s="32">
        <f t="shared" si="53"/>
        <v>340226868</v>
      </c>
      <c r="M126" s="32">
        <f t="shared" si="53"/>
        <v>0</v>
      </c>
      <c r="N126" s="32">
        <f t="shared" si="53"/>
        <v>340226868</v>
      </c>
      <c r="O126" s="32">
        <f t="shared" si="53"/>
        <v>102391012.26000001</v>
      </c>
      <c r="P126" s="32">
        <f t="shared" si="53"/>
        <v>237835855.74000001</v>
      </c>
      <c r="Q126" s="32">
        <f>Q132</f>
        <v>0</v>
      </c>
      <c r="R126" s="32">
        <f>R132+R135</f>
        <v>93768797.829999998</v>
      </c>
      <c r="S126" s="32">
        <f>S132+S135</f>
        <v>87477791.629999995</v>
      </c>
      <c r="T126" s="32">
        <f>T132+T135</f>
        <v>79706563.920000002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0</v>
      </c>
      <c r="L130" s="21">
        <f t="shared" si="56"/>
        <v>340226868</v>
      </c>
      <c r="M130" s="21">
        <f t="shared" si="56"/>
        <v>0</v>
      </c>
      <c r="N130" s="21">
        <f t="shared" si="56"/>
        <v>340226868</v>
      </c>
      <c r="O130" s="21">
        <f t="shared" si="56"/>
        <v>102391012.26000001</v>
      </c>
      <c r="P130" s="21">
        <f t="shared" si="56"/>
        <v>237835855.74000001</v>
      </c>
      <c r="Q130" s="21">
        <f t="shared" si="56"/>
        <v>0</v>
      </c>
      <c r="R130" s="21">
        <f>R131+R134</f>
        <v>93768797.829999998</v>
      </c>
      <c r="S130" s="21">
        <f>S131+S134</f>
        <v>87477791.629999995</v>
      </c>
      <c r="T130" s="21">
        <f>T131+T134</f>
        <v>79706563.920000002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0</v>
      </c>
      <c r="L131" s="21">
        <f t="shared" si="57"/>
        <v>340226868</v>
      </c>
      <c r="M131" s="21">
        <f t="shared" si="57"/>
        <v>0</v>
      </c>
      <c r="N131" s="21">
        <f t="shared" si="57"/>
        <v>340226868</v>
      </c>
      <c r="O131" s="21">
        <f t="shared" si="57"/>
        <v>102391012.26000001</v>
      </c>
      <c r="P131" s="21">
        <f t="shared" si="57"/>
        <v>237835855.74000001</v>
      </c>
      <c r="Q131" s="21">
        <f>Q132</f>
        <v>0</v>
      </c>
      <c r="R131" s="21">
        <f>R132+R133</f>
        <v>93768797.829999998</v>
      </c>
      <c r="S131" s="21">
        <f>S132+S133</f>
        <v>87477791.629999995</v>
      </c>
      <c r="T131" s="21">
        <f>T132+T133</f>
        <v>79706563.920000002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0</v>
      </c>
      <c r="L132" s="32">
        <f>IFERROR(VLOOKUP(G132,'Base Zero'!$A:$L,10,FALSE),0)</f>
        <v>340226868</v>
      </c>
      <c r="M132" s="32">
        <f>+L132-N132</f>
        <v>0</v>
      </c>
      <c r="N132" s="32">
        <f>IFERROR(VLOOKUP(G132,'Base Zero'!$A:$P,16,FALSE),0)</f>
        <v>340226868</v>
      </c>
      <c r="O132" s="32">
        <f>IFERROR(VLOOKUP(G132,'Base Execução'!A:M,6,FALSE),0)+IFERROR(VLOOKUP(G132,'Destaque Liberado pela CPRM'!A:F,6,FALSE),0)</f>
        <v>102391012.26000001</v>
      </c>
      <c r="P132" s="231">
        <f>+N132-O132</f>
        <v>237835855.74000001</v>
      </c>
      <c r="Q132" s="32"/>
      <c r="R132" s="231">
        <f>IFERROR(VLOOKUP(G132,'Base Execução'!$A:$K,7,FALSE),0)</f>
        <v>93768797.829999998</v>
      </c>
      <c r="S132" s="231">
        <f>IFERROR(VLOOKUP(G132,'Base Execução'!$A:$K,9,FALSE),0)</f>
        <v>87477791.629999995</v>
      </c>
      <c r="T132" s="32">
        <f>IFERROR(VLOOKUP(G132,'Base Execução'!$A:$K,11,FALSE),0)</f>
        <v>79706563.920000002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0</v>
      </c>
      <c r="L138" s="26">
        <f t="shared" si="59"/>
        <v>1450000</v>
      </c>
      <c r="M138" s="26">
        <f t="shared" si="59"/>
        <v>0</v>
      </c>
      <c r="N138" s="26">
        <f t="shared" si="59"/>
        <v>1450000</v>
      </c>
      <c r="O138" s="26">
        <f t="shared" si="59"/>
        <v>213664.27000000002</v>
      </c>
      <c r="P138" s="26">
        <f t="shared" si="59"/>
        <v>1236335.73</v>
      </c>
      <c r="Q138" s="22">
        <f t="shared" si="59"/>
        <v>0</v>
      </c>
      <c r="R138" s="26">
        <f t="shared" si="59"/>
        <v>104175.47</v>
      </c>
      <c r="S138" s="26">
        <f t="shared" si="59"/>
        <v>16123.47</v>
      </c>
      <c r="T138" s="26">
        <f t="shared" si="59"/>
        <v>16123.47</v>
      </c>
      <c r="U138" s="156">
        <f>+IFERROR((R138/N138),0%)</f>
        <v>7.1845151724137926E-2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0</v>
      </c>
      <c r="L140" s="32">
        <f t="shared" si="60"/>
        <v>1305000</v>
      </c>
      <c r="M140" s="32">
        <f t="shared" si="60"/>
        <v>0</v>
      </c>
      <c r="N140" s="32">
        <f t="shared" si="60"/>
        <v>1305000</v>
      </c>
      <c r="O140" s="32">
        <f t="shared" si="60"/>
        <v>213664.27000000002</v>
      </c>
      <c r="P140" s="32">
        <f t="shared" si="60"/>
        <v>1091335.73</v>
      </c>
      <c r="Q140" s="32">
        <f t="shared" si="60"/>
        <v>0</v>
      </c>
      <c r="R140" s="32">
        <f t="shared" si="60"/>
        <v>104175.47</v>
      </c>
      <c r="S140" s="32">
        <f t="shared" si="60"/>
        <v>16123.47</v>
      </c>
      <c r="T140" s="32">
        <f t="shared" si="60"/>
        <v>16123.47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0</v>
      </c>
      <c r="L144" s="21">
        <f t="shared" si="62"/>
        <v>1450000</v>
      </c>
      <c r="M144" s="21">
        <f t="shared" si="62"/>
        <v>0</v>
      </c>
      <c r="N144" s="21">
        <f t="shared" si="62"/>
        <v>1450000</v>
      </c>
      <c r="O144" s="21">
        <f t="shared" si="62"/>
        <v>213664.27000000002</v>
      </c>
      <c r="P144" s="228">
        <f t="shared" si="62"/>
        <v>1236335.73</v>
      </c>
      <c r="Q144" s="21">
        <f t="shared" si="62"/>
        <v>0</v>
      </c>
      <c r="R144" s="21">
        <f t="shared" si="62"/>
        <v>104175.47</v>
      </c>
      <c r="S144" s="21">
        <f t="shared" si="62"/>
        <v>16123.47</v>
      </c>
      <c r="T144" s="21">
        <f t="shared" si="62"/>
        <v>16123.47</v>
      </c>
      <c r="U144" s="154">
        <f>+IFERROR((R144/N144),0%)</f>
        <v>7.1845151724137926E-2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0</v>
      </c>
      <c r="L145" s="32">
        <f>IFERROR(VLOOKUP(G145,'Base Zero'!$A:$L,10,FALSE),0)</f>
        <v>1305000</v>
      </c>
      <c r="M145" s="32">
        <f>+L145-N145</f>
        <v>0</v>
      </c>
      <c r="N145" s="32">
        <f>IFERROR(VLOOKUP(G145,'Base Zero'!$A:$P,16,FALSE),0)</f>
        <v>1305000</v>
      </c>
      <c r="O145" s="32">
        <f>IFERROR(VLOOKUP(G145,'Base Execução'!A:M,6,FALSE),0)+IFERROR(VLOOKUP(G145,'Destaque Liberado pela CPRM'!A:F,6,FALSE),0)</f>
        <v>213664.27000000002</v>
      </c>
      <c r="P145" s="231">
        <f>+N145-O145</f>
        <v>1091335.73</v>
      </c>
      <c r="Q145" s="32"/>
      <c r="R145" s="231">
        <f>IFERROR(VLOOKUP(G145,'Base Execução'!$A:$K,7,FALSE),0)</f>
        <v>104175.47</v>
      </c>
      <c r="S145" s="231">
        <f>IFERROR(VLOOKUP(G145,'Base Execução'!$A:$K,9,FALSE),0)</f>
        <v>16123.47</v>
      </c>
      <c r="T145" s="32">
        <f>IFERROR(VLOOKUP(G145,'Base Execução'!$A:$K,11,FALSE),0)</f>
        <v>16123.47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0</v>
      </c>
      <c r="L148" s="26">
        <f t="shared" si="63"/>
        <v>18800000</v>
      </c>
      <c r="M148" s="26">
        <f t="shared" si="63"/>
        <v>0</v>
      </c>
      <c r="N148" s="26">
        <f t="shared" si="63"/>
        <v>18800000</v>
      </c>
      <c r="O148" s="26">
        <f t="shared" si="63"/>
        <v>5955711.5700000003</v>
      </c>
      <c r="P148" s="230">
        <f t="shared" si="63"/>
        <v>12844288.43</v>
      </c>
      <c r="Q148" s="35"/>
      <c r="R148" s="230">
        <f>+R150+R151</f>
        <v>5939763.9900000002</v>
      </c>
      <c r="S148" s="230">
        <f>+S150+S151</f>
        <v>37503.279999999999</v>
      </c>
      <c r="T148" s="26">
        <f>+T150+T151</f>
        <v>28186.489999999998</v>
      </c>
      <c r="U148" s="156">
        <f>+IFERROR((R148/N148),0%)</f>
        <v>0.31594489308510637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0</v>
      </c>
      <c r="L150" s="32">
        <f t="shared" si="64"/>
        <v>18600000</v>
      </c>
      <c r="M150" s="32">
        <f t="shared" si="64"/>
        <v>0</v>
      </c>
      <c r="N150" s="32">
        <f t="shared" si="64"/>
        <v>18600000</v>
      </c>
      <c r="O150" s="32">
        <f t="shared" si="64"/>
        <v>5954671.5100000007</v>
      </c>
      <c r="P150" s="32">
        <f t="shared" si="64"/>
        <v>12645328.49</v>
      </c>
      <c r="Q150" s="32">
        <f t="shared" si="64"/>
        <v>0</v>
      </c>
      <c r="R150" s="32">
        <f t="shared" si="64"/>
        <v>5939763.9900000002</v>
      </c>
      <c r="S150" s="32">
        <f t="shared" si="64"/>
        <v>37503.279999999999</v>
      </c>
      <c r="T150" s="32">
        <f t="shared" si="64"/>
        <v>28186.489999999998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0</v>
      </c>
      <c r="L151" s="32">
        <f t="shared" si="65"/>
        <v>200000</v>
      </c>
      <c r="M151" s="32">
        <f t="shared" si="65"/>
        <v>0</v>
      </c>
      <c r="N151" s="32">
        <f t="shared" si="65"/>
        <v>200000</v>
      </c>
      <c r="O151" s="32">
        <f t="shared" si="65"/>
        <v>1040.06</v>
      </c>
      <c r="P151" s="32">
        <f t="shared" si="65"/>
        <v>198959.94</v>
      </c>
      <c r="Q151" s="32">
        <f t="shared" si="65"/>
        <v>0</v>
      </c>
      <c r="R151" s="32">
        <f t="shared" si="65"/>
        <v>0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0</v>
      </c>
      <c r="L154" s="21">
        <f>SUM(L155:L156)</f>
        <v>600000</v>
      </c>
      <c r="M154" s="21">
        <f t="shared" ref="M154:T154" si="66">SUM(M155:M156)</f>
        <v>0</v>
      </c>
      <c r="N154" s="21">
        <f t="shared" si="66"/>
        <v>600000</v>
      </c>
      <c r="O154" s="21">
        <f t="shared" si="66"/>
        <v>64670.79</v>
      </c>
      <c r="P154" s="228">
        <f t="shared" si="66"/>
        <v>535329.21</v>
      </c>
      <c r="Q154" s="21">
        <f t="shared" si="66"/>
        <v>0</v>
      </c>
      <c r="R154" s="21">
        <f t="shared" si="66"/>
        <v>52374.11</v>
      </c>
      <c r="S154" s="21">
        <f t="shared" si="66"/>
        <v>25115.56</v>
      </c>
      <c r="T154" s="21">
        <f t="shared" si="66"/>
        <v>23462.48</v>
      </c>
      <c r="U154" s="154">
        <f>+IFERROR((R154/N154),0%)</f>
        <v>8.729018333333334E-2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0</v>
      </c>
      <c r="L155" s="32">
        <f>IFERROR(VLOOKUP(G155,'Base Zero'!$A:$L,10,FALSE),0)</f>
        <v>400000</v>
      </c>
      <c r="M155" s="32">
        <f>+L155-N155</f>
        <v>0</v>
      </c>
      <c r="N155" s="32">
        <f>IFERROR(VLOOKUP(G155,'Base Zero'!$A:$P,16,FALSE),0)</f>
        <v>400000</v>
      </c>
      <c r="O155" s="32">
        <f>IFERROR(VLOOKUP(G155,'Base Execução'!A:M,6,FALSE),0)+IFERROR(VLOOKUP(G155,'Destaque Liberado pela CPRM'!A:F,6,FALSE),0)</f>
        <v>63630.73</v>
      </c>
      <c r="P155" s="231">
        <f>+N155-O155</f>
        <v>336369.27</v>
      </c>
      <c r="Q155" s="33"/>
      <c r="R155" s="231">
        <f>IFERROR(VLOOKUP(G155,'Base Execução'!$A:$K,7,FALSE),0)</f>
        <v>52374.11</v>
      </c>
      <c r="S155" s="231">
        <f>IFERROR(VLOOKUP(G155,'Base Execução'!$A:$K,9,FALSE),0)</f>
        <v>25115.56</v>
      </c>
      <c r="T155" s="32">
        <f>IFERROR(VLOOKUP(G155,'Base Execução'!$A:$K,11,FALSE),0)</f>
        <v>23462.48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0</v>
      </c>
      <c r="L156" s="31">
        <f>IFERROR(VLOOKUP(G156,'Base Zero'!$A:$L,10,FALSE),0)</f>
        <v>200000</v>
      </c>
      <c r="M156" s="31">
        <f>+L156-N156</f>
        <v>0</v>
      </c>
      <c r="N156" s="32">
        <f>IFERROR(VLOOKUP(G156,'Base Zero'!$A:$P,16,FALSE),0)</f>
        <v>200000</v>
      </c>
      <c r="O156" s="32">
        <f>IFERROR(VLOOKUP(G156,'Base Execução'!A:M,6,FALSE),0)+IFERROR(VLOOKUP(G156,'Destaque Liberado pela CPRM'!A:F,6,FALSE),0)</f>
        <v>1040.06</v>
      </c>
      <c r="P156" s="231">
        <f>+N156-O156</f>
        <v>198959.94</v>
      </c>
      <c r="Q156" s="35"/>
      <c r="R156" s="231">
        <f>IFERROR(VLOOKUP(G156,'Base Execução'!$A:$K,7,FALSE),0)</f>
        <v>0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85011.48</v>
      </c>
      <c r="P158" s="228">
        <f t="shared" si="67"/>
        <v>114988.52</v>
      </c>
      <c r="Q158" s="21">
        <f t="shared" si="67"/>
        <v>0</v>
      </c>
      <c r="R158" s="21">
        <f t="shared" si="67"/>
        <v>85011.48</v>
      </c>
      <c r="S158" s="21">
        <f t="shared" si="67"/>
        <v>0</v>
      </c>
      <c r="T158" s="21">
        <f t="shared" si="67"/>
        <v>0</v>
      </c>
      <c r="U158" s="154">
        <f>+IFERROR((R158/N158),0%)</f>
        <v>0.42505739999999997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85011.48</v>
      </c>
      <c r="P159" s="231">
        <f>+N159-O159</f>
        <v>114988.52</v>
      </c>
      <c r="Q159" s="32"/>
      <c r="R159" s="231">
        <f>IFERROR(VLOOKUP(G159,'Base Execução'!$A:$K,7,FALSE),0)</f>
        <v>85011.48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0</v>
      </c>
      <c r="L161" s="21">
        <f>L162</f>
        <v>200000</v>
      </c>
      <c r="M161" s="21">
        <f t="shared" si="68"/>
        <v>0</v>
      </c>
      <c r="N161" s="21">
        <f t="shared" si="68"/>
        <v>200000</v>
      </c>
      <c r="O161" s="21">
        <f t="shared" si="68"/>
        <v>0</v>
      </c>
      <c r="P161" s="228">
        <f t="shared" si="68"/>
        <v>200000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0</v>
      </c>
      <c r="L162" s="32">
        <f>IFERROR(VLOOKUP(G162,'Base Zero'!$A:$L,10,FALSE),0)</f>
        <v>200000</v>
      </c>
      <c r="M162" s="32">
        <f>+L162-N162</f>
        <v>0</v>
      </c>
      <c r="N162" s="32">
        <f>IFERROR(VLOOKUP(G162,'Base Zero'!$A:$P,16,FALSE),0)</f>
        <v>200000</v>
      </c>
      <c r="O162" s="32">
        <f>IFERROR(VLOOKUP(G162,'Base Execução'!A:M,6,FALSE),0)+IFERROR(VLOOKUP(G162,'Destaque Liberado pela CPRM'!A:F,6,FALSE),0)</f>
        <v>0</v>
      </c>
      <c r="P162" s="231">
        <f>+N162-O162</f>
        <v>200000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58046.99</v>
      </c>
      <c r="P164" s="228">
        <f t="shared" si="69"/>
        <v>241953.01</v>
      </c>
      <c r="Q164" s="21">
        <f t="shared" si="69"/>
        <v>0</v>
      </c>
      <c r="R164" s="21">
        <f t="shared" si="69"/>
        <v>58046.99</v>
      </c>
      <c r="S164" s="21">
        <f t="shared" si="69"/>
        <v>0</v>
      </c>
      <c r="T164" s="21">
        <f t="shared" si="69"/>
        <v>0</v>
      </c>
      <c r="U164" s="154">
        <f>+IFERROR((R164/N164),0%)</f>
        <v>0.19348996666666665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58046.99</v>
      </c>
      <c r="P165" s="231">
        <f>+N165-O165</f>
        <v>241953.01</v>
      </c>
      <c r="Q165" s="33"/>
      <c r="R165" s="231">
        <f>IFERROR(VLOOKUP(G165,'Base Execução'!$A:$K,7,FALSE),0)</f>
        <v>58046.99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0</v>
      </c>
      <c r="L167" s="21">
        <f>L168</f>
        <v>16000000</v>
      </c>
      <c r="M167" s="21">
        <f t="shared" si="70"/>
        <v>0</v>
      </c>
      <c r="N167" s="21">
        <f t="shared" si="70"/>
        <v>16000000</v>
      </c>
      <c r="O167" s="21">
        <f t="shared" si="70"/>
        <v>5731943.6900000004</v>
      </c>
      <c r="P167" s="228">
        <f t="shared" si="70"/>
        <v>10268056.309999999</v>
      </c>
      <c r="Q167" s="21">
        <f t="shared" si="70"/>
        <v>0</v>
      </c>
      <c r="R167" s="21">
        <f t="shared" si="70"/>
        <v>5731943.6900000004</v>
      </c>
      <c r="S167" s="21">
        <f t="shared" si="70"/>
        <v>0</v>
      </c>
      <c r="T167" s="21">
        <f t="shared" si="70"/>
        <v>0</v>
      </c>
      <c r="U167" s="154">
        <f>+IFERROR((R167/N167),0%)</f>
        <v>0.35824648062500003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0</v>
      </c>
      <c r="L168" s="32">
        <f>IFERROR(VLOOKUP(G168,'Base Zero'!$A:$L,10,FALSE),0)</f>
        <v>16000000</v>
      </c>
      <c r="M168" s="32">
        <f>+L168-N168</f>
        <v>0</v>
      </c>
      <c r="N168" s="32">
        <f>IFERROR(VLOOKUP(G168,'Base Zero'!$A:$P,16,FALSE),0)</f>
        <v>16000000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10268056.309999999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0</v>
      </c>
      <c r="T168" s="32">
        <f>IFERROR(VLOOKUP(G168,'Base Execução'!$A:$K,11,FALSE),0)</f>
        <v>0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0</v>
      </c>
      <c r="L170" s="21">
        <f>L171</f>
        <v>400000</v>
      </c>
      <c r="M170" s="21">
        <f t="shared" si="71"/>
        <v>0</v>
      </c>
      <c r="N170" s="21">
        <f t="shared" si="71"/>
        <v>400000</v>
      </c>
      <c r="O170" s="21">
        <f t="shared" si="71"/>
        <v>0</v>
      </c>
      <c r="P170" s="228">
        <f t="shared" si="71"/>
        <v>400000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0</v>
      </c>
      <c r="L171" s="32">
        <f>IFERROR(VLOOKUP(G171,'Base Zero'!$A:$L,10,FALSE),0)</f>
        <v>400000</v>
      </c>
      <c r="M171" s="32">
        <f>+L171-N171</f>
        <v>0</v>
      </c>
      <c r="N171" s="32">
        <f>IFERROR(VLOOKUP(G171,'Base Zero'!$A:$P,16,FALSE),0)</f>
        <v>400000</v>
      </c>
      <c r="O171" s="32">
        <f>IFERROR(VLOOKUP(G171,'Base Execução'!A:M,6,FALSE),0)+IFERROR(VLOOKUP(G171,'Destaque Liberado pela CPRM'!A:F,6,FALSE),0)</f>
        <v>0</v>
      </c>
      <c r="P171" s="231">
        <f>+N171-O171</f>
        <v>400000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0</v>
      </c>
      <c r="L173" s="21">
        <f t="shared" ref="L173:T173" si="72">L174</f>
        <v>400000</v>
      </c>
      <c r="M173" s="21">
        <f t="shared" si="72"/>
        <v>0</v>
      </c>
      <c r="N173" s="21">
        <f t="shared" si="72"/>
        <v>400000</v>
      </c>
      <c r="O173" s="21">
        <f t="shared" si="72"/>
        <v>0</v>
      </c>
      <c r="P173" s="228">
        <f t="shared" si="72"/>
        <v>400000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0</v>
      </c>
      <c r="L174" s="32">
        <f>IFERROR(VLOOKUP(G174,'Base Zero'!$A:$L,10,FALSE),0)</f>
        <v>400000</v>
      </c>
      <c r="M174" s="32">
        <f>+L174-N174</f>
        <v>0</v>
      </c>
      <c r="N174" s="32">
        <f>IFERROR(VLOOKUP(G174,'Base Zero'!$A:$P,16,FALSE),0)</f>
        <v>400000</v>
      </c>
      <c r="O174" s="32">
        <f>IFERROR(VLOOKUP(G174,'Base Execução'!A:M,6,FALSE),0)+IFERROR(VLOOKUP(G174,'Destaque Liberado pela CPRM'!A:F,6,FALSE),0)</f>
        <v>0</v>
      </c>
      <c r="P174" s="231">
        <f>+N174-O174</f>
        <v>400000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0</v>
      </c>
      <c r="L176" s="21">
        <f t="shared" ref="L176:T176" si="73">L177</f>
        <v>400000</v>
      </c>
      <c r="M176" s="21">
        <f t="shared" si="73"/>
        <v>0</v>
      </c>
      <c r="N176" s="21">
        <f t="shared" si="73"/>
        <v>400000</v>
      </c>
      <c r="O176" s="21">
        <f t="shared" si="73"/>
        <v>0</v>
      </c>
      <c r="P176" s="228">
        <f t="shared" si="73"/>
        <v>400000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0</v>
      </c>
      <c r="L177" s="32">
        <f>IFERROR(VLOOKUP(G177,'Base Zero'!$A:$L,10,FALSE),0)</f>
        <v>400000</v>
      </c>
      <c r="M177" s="32">
        <f>+L177-N177</f>
        <v>0</v>
      </c>
      <c r="N177" s="32">
        <f>IFERROR(VLOOKUP(G177,'Base Zero'!$A:$P,16,FALSE),0)</f>
        <v>400000</v>
      </c>
      <c r="O177" s="32">
        <f>IFERROR(VLOOKUP(G177,'Base Execução'!A:M,6,FALSE),0)+IFERROR(VLOOKUP(G177,'Destaque Liberado pela CPRM'!A:F,6,FALSE),0)</f>
        <v>0</v>
      </c>
      <c r="P177" s="231">
        <f>+N177-O177</f>
        <v>400000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0</v>
      </c>
      <c r="L179" s="21">
        <f t="shared" ref="L179:T179" si="74">L180</f>
        <v>300000</v>
      </c>
      <c r="M179" s="21">
        <f t="shared" si="74"/>
        <v>0</v>
      </c>
      <c r="N179" s="21">
        <f t="shared" si="74"/>
        <v>300000</v>
      </c>
      <c r="O179" s="21">
        <f t="shared" si="74"/>
        <v>16038.62</v>
      </c>
      <c r="P179" s="228">
        <f t="shared" si="74"/>
        <v>283961.38</v>
      </c>
      <c r="Q179" s="21">
        <f t="shared" si="74"/>
        <v>0</v>
      </c>
      <c r="R179" s="21">
        <f t="shared" si="74"/>
        <v>12387.72</v>
      </c>
      <c r="S179" s="21">
        <f t="shared" si="74"/>
        <v>12387.72</v>
      </c>
      <c r="T179" s="21">
        <f t="shared" si="74"/>
        <v>4724.01</v>
      </c>
      <c r="U179" s="154">
        <f>+IFERROR((R179/N179),0%)</f>
        <v>4.12924E-2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0</v>
      </c>
      <c r="L180" s="32">
        <f>IFERROR(VLOOKUP(G180,'Base Zero'!$A:$L,10,FALSE),0)</f>
        <v>300000</v>
      </c>
      <c r="M180" s="32">
        <f>+L180-N180</f>
        <v>0</v>
      </c>
      <c r="N180" s="32">
        <f>IFERROR(VLOOKUP(G180,'Base Zero'!$A:$P,16,FALSE),0)</f>
        <v>300000</v>
      </c>
      <c r="O180" s="32">
        <f>IFERROR(VLOOKUP(G180,'Base Execução'!A:M,6,FALSE),0)+IFERROR(VLOOKUP(G180,'Destaque Liberado pela CPRM'!A:F,6,FALSE),0)</f>
        <v>16038.62</v>
      </c>
      <c r="P180" s="231">
        <f>+N180-O180</f>
        <v>283961.38</v>
      </c>
      <c r="Q180" s="35"/>
      <c r="R180" s="231">
        <f>IFERROR(VLOOKUP(G180,'Base Execução'!$A:$K,7,FALSE),0)</f>
        <v>12387.72</v>
      </c>
      <c r="S180" s="231">
        <f>IFERROR(VLOOKUP(G180,'Base Execução'!$A:$K,9,FALSE),0)</f>
        <v>12387.72</v>
      </c>
      <c r="T180" s="32">
        <f>IFERROR(VLOOKUP(G180,'Base Execução'!$A:$K,11,FALSE),0)</f>
        <v>4724.01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0</v>
      </c>
      <c r="L182" s="26">
        <f t="shared" si="75"/>
        <v>5000000</v>
      </c>
      <c r="M182" s="26">
        <f t="shared" si="75"/>
        <v>0</v>
      </c>
      <c r="N182" s="26">
        <f t="shared" si="75"/>
        <v>5000000</v>
      </c>
      <c r="O182" s="26">
        <f t="shared" si="75"/>
        <v>291265.99</v>
      </c>
      <c r="P182" s="26">
        <f t="shared" si="75"/>
        <v>4708734.01</v>
      </c>
      <c r="Q182" s="35">
        <f>SUM(Q184:Q186)</f>
        <v>0</v>
      </c>
      <c r="R182" s="26">
        <f t="shared" si="75"/>
        <v>266069.27999999997</v>
      </c>
      <c r="S182" s="26">
        <f t="shared" si="75"/>
        <v>187703.99000000002</v>
      </c>
      <c r="T182" s="26">
        <f t="shared" si="75"/>
        <v>175814.61000000002</v>
      </c>
      <c r="U182" s="156">
        <f>+IFERROR((R182/N182),0%)</f>
        <v>5.3213855999999997E-2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0</v>
      </c>
      <c r="L184" s="32">
        <f t="shared" si="76"/>
        <v>2700000</v>
      </c>
      <c r="M184" s="32">
        <f t="shared" si="76"/>
        <v>0</v>
      </c>
      <c r="N184" s="32">
        <f t="shared" si="76"/>
        <v>2700000</v>
      </c>
      <c r="O184" s="32">
        <f t="shared" si="76"/>
        <v>209605.51</v>
      </c>
      <c r="P184" s="32">
        <f t="shared" si="76"/>
        <v>2490394.4900000002</v>
      </c>
      <c r="Q184" s="32">
        <f t="shared" si="76"/>
        <v>0</v>
      </c>
      <c r="R184" s="32">
        <f t="shared" si="76"/>
        <v>185962.81999999998</v>
      </c>
      <c r="S184" s="32">
        <f t="shared" si="76"/>
        <v>144353.42000000001</v>
      </c>
      <c r="T184" s="32">
        <f t="shared" si="76"/>
        <v>132464.04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0</v>
      </c>
      <c r="L185" s="32">
        <f t="shared" si="77"/>
        <v>1500000</v>
      </c>
      <c r="M185" s="32">
        <f t="shared" si="77"/>
        <v>0</v>
      </c>
      <c r="N185" s="32">
        <f t="shared" si="77"/>
        <v>1500000</v>
      </c>
      <c r="O185" s="32">
        <f t="shared" si="77"/>
        <v>36923.71</v>
      </c>
      <c r="P185" s="32">
        <f t="shared" si="77"/>
        <v>1463076.29</v>
      </c>
      <c r="Q185" s="32">
        <f t="shared" ref="Q185" si="78">Q192</f>
        <v>0</v>
      </c>
      <c r="R185" s="32">
        <f t="shared" si="77"/>
        <v>36255.89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44736.77</v>
      </c>
      <c r="P186" s="32">
        <f t="shared" si="79"/>
        <v>755263.23</v>
      </c>
      <c r="Q186" s="32">
        <f t="shared" ref="Q186" si="80">Q193</f>
        <v>0</v>
      </c>
      <c r="R186" s="32">
        <f t="shared" si="79"/>
        <v>43850.57</v>
      </c>
      <c r="S186" s="32">
        <f t="shared" si="79"/>
        <v>43350.57</v>
      </c>
      <c r="T186" s="32">
        <f t="shared" si="79"/>
        <v>43350.57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57234.77</v>
      </c>
      <c r="P190" s="21">
        <f t="shared" si="82"/>
        <v>142765.23000000001</v>
      </c>
      <c r="Q190" s="21">
        <f>SUM(Q191:Q193)</f>
        <v>0</v>
      </c>
      <c r="R190" s="21">
        <f>SUM(R191:R194)</f>
        <v>55044.38</v>
      </c>
      <c r="S190" s="21">
        <f>SUM(S191:S194)</f>
        <v>42881.34</v>
      </c>
      <c r="T190" s="21">
        <f>SUM(T191:T194)</f>
        <v>41502.03</v>
      </c>
      <c r="U190" s="154">
        <f>+IFERROR((R190/N190),0%)</f>
        <v>0.27522189999999996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57234.77</v>
      </c>
      <c r="P191" s="231">
        <f>+N191-O191</f>
        <v>142765.23000000001</v>
      </c>
      <c r="Q191" s="296"/>
      <c r="R191" s="231">
        <f>IFERROR(VLOOKUP(G191,'Base Execução'!$A:$K,7,FALSE),0)</f>
        <v>55044.38</v>
      </c>
      <c r="S191" s="231">
        <f>IFERROR(VLOOKUP(G191,'Base Execução'!$A:$K,9,FALSE),0)</f>
        <v>42881.34</v>
      </c>
      <c r="T191" s="32">
        <f>IFERROR(VLOOKUP(G191,'Base Execução'!$A:$K,11,FALSE),0)</f>
        <v>41502.03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0</v>
      </c>
      <c r="L196" s="21">
        <f t="shared" si="83"/>
        <v>3200000</v>
      </c>
      <c r="M196" s="21">
        <f t="shared" si="83"/>
        <v>0</v>
      </c>
      <c r="N196" s="21">
        <f t="shared" si="83"/>
        <v>3200000</v>
      </c>
      <c r="O196" s="21">
        <f t="shared" si="83"/>
        <v>158089.1</v>
      </c>
      <c r="P196" s="21">
        <f t="shared" si="83"/>
        <v>3041910.9000000004</v>
      </c>
      <c r="Q196" s="21">
        <f t="shared" ref="Q196" si="84">Q197</f>
        <v>0</v>
      </c>
      <c r="R196" s="21">
        <f t="shared" ref="R196" si="85">SUM(R197:R198)</f>
        <v>140537.93</v>
      </c>
      <c r="S196" s="21">
        <f t="shared" ref="S196" si="86">SUM(S197:S198)</f>
        <v>75773.350000000006</v>
      </c>
      <c r="T196" s="21">
        <f t="shared" ref="T196" si="87">SUM(T197:T198)</f>
        <v>74219.11</v>
      </c>
      <c r="U196" s="154">
        <f>+IFERROR((R196/N196),0%)</f>
        <v>4.3918103124999996E-2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0</v>
      </c>
      <c r="L197" s="232">
        <f>IFERROR(VLOOKUP(G197,'Base Zero'!$A:$L,10,FALSE),0)</f>
        <v>1800000</v>
      </c>
      <c r="M197" s="232">
        <f>+L197-N197</f>
        <v>0</v>
      </c>
      <c r="N197" s="32">
        <f>IFERROR(VLOOKUP(G197,'Base Zero'!$A:$P,16,FALSE),0)</f>
        <v>1800000</v>
      </c>
      <c r="O197" s="32">
        <f>IFERROR(VLOOKUP(G197,'Base Execução'!A:M,6,FALSE),0)+IFERROR(VLOOKUP(G197,'Destaque Liberado pela CPRM'!A:F,6,FALSE),0)</f>
        <v>121165.39</v>
      </c>
      <c r="P197" s="231">
        <f>+N197-O197</f>
        <v>1678834.61</v>
      </c>
      <c r="Q197" s="296"/>
      <c r="R197" s="231">
        <f>IFERROR(VLOOKUP(G197,'Base Execução'!$A:$K,7,FALSE),0)</f>
        <v>104282.04</v>
      </c>
      <c r="S197" s="231">
        <f>IFERROR(VLOOKUP(G197,'Base Execução'!$A:$K,9,FALSE),0)</f>
        <v>75773.350000000006</v>
      </c>
      <c r="T197" s="32">
        <f>IFERROR(VLOOKUP(G197,'Base Execução'!$A:$K,11,FALSE),0)</f>
        <v>74219.11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0</v>
      </c>
      <c r="L198" s="232">
        <f>IFERROR(VLOOKUP(G198,'Base Zero'!$A:$L,10,FALSE),0)</f>
        <v>1400000</v>
      </c>
      <c r="M198" s="232">
        <f>+L198-N198</f>
        <v>0</v>
      </c>
      <c r="N198" s="32">
        <f>IFERROR(VLOOKUP(G198,'Base Zero'!$A:$P,16,FALSE),0)</f>
        <v>1400000</v>
      </c>
      <c r="O198" s="32">
        <f>IFERROR(VLOOKUP(G198,'Base Execução'!A:M,6,FALSE),0)+IFERROR(VLOOKUP(G198,'Destaque Liberado pela CPRM'!A:F,6,FALSE),0)</f>
        <v>36923.71</v>
      </c>
      <c r="P198" s="231">
        <f>+N198-O198</f>
        <v>1363076.29</v>
      </c>
      <c r="Q198" s="296"/>
      <c r="R198" s="231">
        <f>IFERROR(VLOOKUP(G198,'Base Execução'!$A:$K,7,FALSE),0)</f>
        <v>36255.89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0</v>
      </c>
      <c r="L200" s="21">
        <f t="shared" si="88"/>
        <v>800000</v>
      </c>
      <c r="M200" s="21">
        <f t="shared" si="88"/>
        <v>0</v>
      </c>
      <c r="N200" s="21">
        <f t="shared" si="88"/>
        <v>800000</v>
      </c>
      <c r="O200" s="21">
        <f t="shared" si="88"/>
        <v>31205.35</v>
      </c>
      <c r="P200" s="21">
        <f t="shared" si="88"/>
        <v>768794.65</v>
      </c>
      <c r="Q200" s="21">
        <f t="shared" ref="Q200" si="89">Q201</f>
        <v>0</v>
      </c>
      <c r="R200" s="21">
        <f t="shared" ref="R200" si="90">SUM(R201:R202)</f>
        <v>26636.400000000001</v>
      </c>
      <c r="S200" s="21">
        <f t="shared" ref="S200" si="91">SUM(S201:S202)</f>
        <v>25698.73</v>
      </c>
      <c r="T200" s="21">
        <f t="shared" ref="T200" si="92">SUM(T201:T202)</f>
        <v>16742.900000000001</v>
      </c>
      <c r="U200" s="154">
        <f>+IFERROR((R200/N200),0%)</f>
        <v>3.3295499999999999E-2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0</v>
      </c>
      <c r="L201" s="231">
        <f>IFERROR(VLOOKUP(G201,'Base Zero'!$A:$L,10,FALSE),0)</f>
        <v>700000</v>
      </c>
      <c r="M201" s="232">
        <f>+L201-N201</f>
        <v>0</v>
      </c>
      <c r="N201" s="32">
        <f>IFERROR(VLOOKUP(G201,'Base Zero'!$A:$P,16,FALSE),0)</f>
        <v>700000</v>
      </c>
      <c r="O201" s="32">
        <f>IFERROR(VLOOKUP(G201,'Base Execução'!A:M,6,FALSE),0)+IFERROR(VLOOKUP(G201,'Destaque Liberado pela CPRM'!A:F,6,FALSE),0)</f>
        <v>31205.35</v>
      </c>
      <c r="P201" s="231">
        <f>+N201-O201</f>
        <v>668794.65</v>
      </c>
      <c r="Q201" s="33"/>
      <c r="R201" s="231">
        <f>IFERROR(VLOOKUP(G201,'Base Execução'!$A:$K,7,FALSE),0)</f>
        <v>26636.400000000001</v>
      </c>
      <c r="S201" s="231">
        <f>IFERROR(VLOOKUP(G201,'Base Execução'!$A:$K,9,FALSE),0)</f>
        <v>25698.73</v>
      </c>
      <c r="T201" s="32">
        <f>IFERROR(VLOOKUP(G201,'Base Execução'!$A:$K,11,FALSE),0)</f>
        <v>16742.900000000001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0</v>
      </c>
      <c r="L202" s="231">
        <f>IFERROR(VLOOKUP(G202,'Base Zero'!$A:$L,10,FALSE),0)</f>
        <v>100000</v>
      </c>
      <c r="M202" s="232">
        <f>+L202-N202</f>
        <v>0</v>
      </c>
      <c r="N202" s="32">
        <f>IFERROR(VLOOKUP(G202,'Base Zero'!$A:$P,16,FALSE),0)</f>
        <v>100000</v>
      </c>
      <c r="O202" s="32">
        <f>IFERROR(VLOOKUP(G202,'Base Execução'!A:M,6,FALSE),0)+IFERROR(VLOOKUP(G202,'Destaque Liberado pela CPRM'!A:F,6,FALSE),0)</f>
        <v>0</v>
      </c>
      <c r="P202" s="231">
        <f>+N202-O202</f>
        <v>100000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44736.77</v>
      </c>
      <c r="P204" s="228">
        <f t="shared" si="93"/>
        <v>755263.23</v>
      </c>
      <c r="Q204" s="21">
        <f t="shared" si="93"/>
        <v>0</v>
      </c>
      <c r="R204" s="21">
        <f t="shared" si="93"/>
        <v>43850.57</v>
      </c>
      <c r="S204" s="21">
        <f t="shared" si="93"/>
        <v>43350.57</v>
      </c>
      <c r="T204" s="32"/>
      <c r="U204" s="154">
        <f>+IFERROR((R204/N204),0%)</f>
        <v>5.48132125E-2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44736.77</v>
      </c>
      <c r="P205" s="231">
        <f>+N205-O205</f>
        <v>755263.23</v>
      </c>
      <c r="Q205" s="33"/>
      <c r="R205" s="231">
        <f>IFERROR(VLOOKUP(G205,'Base Execução'!$A:$K,7,FALSE),0)</f>
        <v>43850.57</v>
      </c>
      <c r="S205" s="231">
        <f>IFERROR(VLOOKUP(G205,'Base Execução'!$A:$K,9,FALSE),0)</f>
        <v>43350.57</v>
      </c>
      <c r="T205" s="32">
        <f>IFERROR(VLOOKUP(G205,'Base Execução'!$A:$K,11,FALSE),0)</f>
        <v>43350.57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0</v>
      </c>
      <c r="L207" s="26">
        <f t="shared" si="94"/>
        <v>5000000</v>
      </c>
      <c r="M207" s="26">
        <f t="shared" si="94"/>
        <v>700000</v>
      </c>
      <c r="N207" s="26">
        <f t="shared" si="94"/>
        <v>4300000</v>
      </c>
      <c r="O207" s="26">
        <f t="shared" si="94"/>
        <v>773569.33</v>
      </c>
      <c r="P207" s="26">
        <f t="shared" si="94"/>
        <v>3526430.67</v>
      </c>
      <c r="Q207" s="22">
        <f>Q209</f>
        <v>0</v>
      </c>
      <c r="R207" s="26">
        <f t="shared" si="94"/>
        <v>669463.16999999993</v>
      </c>
      <c r="S207" s="26">
        <f t="shared" si="94"/>
        <v>532332.29</v>
      </c>
      <c r="T207" s="26">
        <f t="shared" si="94"/>
        <v>472019.99</v>
      </c>
      <c r="U207" s="156">
        <f>+IFERROR((R207/N207),0%)</f>
        <v>0.15568910930232557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0</v>
      </c>
      <c r="L209" s="31">
        <f t="shared" si="95"/>
        <v>4700000</v>
      </c>
      <c r="M209" s="31">
        <f t="shared" si="95"/>
        <v>700000</v>
      </c>
      <c r="N209" s="31">
        <f t="shared" si="95"/>
        <v>4000000</v>
      </c>
      <c r="O209" s="31">
        <f t="shared" si="95"/>
        <v>508771.69999999995</v>
      </c>
      <c r="P209" s="31">
        <f t="shared" si="95"/>
        <v>3491228.3</v>
      </c>
      <c r="Q209" s="31">
        <f t="shared" si="95"/>
        <v>0</v>
      </c>
      <c r="R209" s="31">
        <f t="shared" si="95"/>
        <v>407506.17</v>
      </c>
      <c r="S209" s="31">
        <f t="shared" si="95"/>
        <v>270375.28999999998</v>
      </c>
      <c r="T209" s="31">
        <f t="shared" si="95"/>
        <v>225387.47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0</v>
      </c>
      <c r="L210" s="31">
        <f t="shared" si="96"/>
        <v>300000</v>
      </c>
      <c r="M210" s="31">
        <f t="shared" si="96"/>
        <v>0</v>
      </c>
      <c r="N210" s="31">
        <f t="shared" si="96"/>
        <v>300000</v>
      </c>
      <c r="O210" s="31">
        <f t="shared" si="96"/>
        <v>264797.63</v>
      </c>
      <c r="P210" s="31">
        <f t="shared" si="96"/>
        <v>35202.369999999995</v>
      </c>
      <c r="Q210" s="31"/>
      <c r="R210" s="31">
        <f t="shared" si="96"/>
        <v>261957</v>
      </c>
      <c r="S210" s="31">
        <f t="shared" si="96"/>
        <v>261957</v>
      </c>
      <c r="T210" s="31">
        <f t="shared" si="96"/>
        <v>246632.52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0</v>
      </c>
      <c r="L213" s="22">
        <f t="shared" si="97"/>
        <v>1300000</v>
      </c>
      <c r="M213" s="22">
        <f t="shared" si="97"/>
        <v>200000</v>
      </c>
      <c r="N213" s="22">
        <f t="shared" si="97"/>
        <v>1100000</v>
      </c>
      <c r="O213" s="22">
        <f t="shared" si="97"/>
        <v>430430.08999999997</v>
      </c>
      <c r="P213" s="229">
        <f t="shared" si="97"/>
        <v>669569.91</v>
      </c>
      <c r="Q213" s="22">
        <f>Q214</f>
        <v>0</v>
      </c>
      <c r="R213" s="22">
        <f>R214+R215</f>
        <v>366931.7</v>
      </c>
      <c r="S213" s="22">
        <f>S214+S215</f>
        <v>294639.11</v>
      </c>
      <c r="T213" s="22">
        <f>T214+T215</f>
        <v>271895.25</v>
      </c>
      <c r="U213" s="154">
        <f>+IFERROR((R213/N213),0%)</f>
        <v>0.33357427272727275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0</v>
      </c>
      <c r="L214" s="31">
        <f>IFERROR(VLOOKUP(G214,'Base Zero'!$A:$L,10,FALSE),0)</f>
        <v>1000000</v>
      </c>
      <c r="M214" s="31">
        <f>+L214-N214</f>
        <v>200000</v>
      </c>
      <c r="N214" s="32">
        <f>IFERROR(VLOOKUP(G214,'Base Zero'!$A:$P,16,FALSE),0)</f>
        <v>800000</v>
      </c>
      <c r="O214" s="32">
        <f>IFERROR(VLOOKUP(G214,'Base Execução'!A:M,6,FALSE),0)+IFERROR(VLOOKUP(G214,'Destaque Liberado pela CPRM'!A:F,6,FALSE),0)</f>
        <v>165632.46</v>
      </c>
      <c r="P214" s="232">
        <f>+N214-O214</f>
        <v>634367.54</v>
      </c>
      <c r="Q214" s="31"/>
      <c r="R214" s="231">
        <f>IFERROR(VLOOKUP(G214,'Base Execução'!$A:$K,7,FALSE),0)</f>
        <v>104974.7</v>
      </c>
      <c r="S214" s="231">
        <f>IFERROR(VLOOKUP(G214,'Base Execução'!$A:$K,9,FALSE),0)</f>
        <v>32682.11</v>
      </c>
      <c r="T214" s="32">
        <f>IFERROR(VLOOKUP(G214,'Base Execução'!$A:$K,11,FALSE),0)</f>
        <v>25262.73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0</v>
      </c>
      <c r="L215" s="31">
        <f>IFERROR(VLOOKUP(G215,'Base Zero'!$A:$L,10,FALSE),0)</f>
        <v>300000</v>
      </c>
      <c r="M215" s="31">
        <f>+L215-N215</f>
        <v>0</v>
      </c>
      <c r="N215" s="32">
        <f>IFERROR(VLOOKUP(G215,'Base Zero'!$A:$P,16,FALSE),0)</f>
        <v>300000</v>
      </c>
      <c r="O215" s="32">
        <f>IFERROR(VLOOKUP(G215,'Base Execução'!A:M,6,FALSE),0)+IFERROR(VLOOKUP(G215,'Destaque Liberado pela CPRM'!A:F,6,FALSE),0)</f>
        <v>264797.63</v>
      </c>
      <c r="P215" s="232">
        <f>+N215-O215</f>
        <v>35202.369999999995</v>
      </c>
      <c r="Q215" s="31"/>
      <c r="R215" s="231">
        <f>IFERROR(VLOOKUP(G215,'Base Execução'!$A:$K,7,FALSE),0)</f>
        <v>261957</v>
      </c>
      <c r="S215" s="231">
        <f>IFERROR(VLOOKUP(G215,'Base Execução'!$A:$K,9,FALSE),0)</f>
        <v>261957</v>
      </c>
      <c r="T215" s="32">
        <f>IFERROR(VLOOKUP(G215,'Base Execução'!$A:$K,11,FALSE),0)</f>
        <v>246632.52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0</v>
      </c>
      <c r="L217" s="22">
        <f t="shared" si="98"/>
        <v>300000</v>
      </c>
      <c r="M217" s="22">
        <f t="shared" si="98"/>
        <v>0</v>
      </c>
      <c r="N217" s="22">
        <f t="shared" si="98"/>
        <v>300000</v>
      </c>
      <c r="O217" s="22">
        <f t="shared" si="98"/>
        <v>0</v>
      </c>
      <c r="P217" s="229">
        <f t="shared" si="98"/>
        <v>300000</v>
      </c>
      <c r="Q217" s="22">
        <f t="shared" si="98"/>
        <v>0</v>
      </c>
      <c r="R217" s="22">
        <f t="shared" si="98"/>
        <v>0</v>
      </c>
      <c r="S217" s="22">
        <f t="shared" si="98"/>
        <v>0</v>
      </c>
      <c r="T217" s="22">
        <f t="shared" si="98"/>
        <v>0</v>
      </c>
      <c r="U217" s="154">
        <f>+IFERROR((R217/N217),0%)</f>
        <v>0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0</v>
      </c>
      <c r="L218" s="31">
        <f>IFERROR(VLOOKUP(G218,'Base Zero'!$A:$L,10,FALSE),0)</f>
        <v>300000</v>
      </c>
      <c r="M218" s="31">
        <f>+L218-N218</f>
        <v>0</v>
      </c>
      <c r="N218" s="32">
        <f>IFERROR(VLOOKUP(G218,'Base Zero'!$A:$P,16,FALSE),0)</f>
        <v>300000</v>
      </c>
      <c r="O218" s="32">
        <f>IFERROR(VLOOKUP(G218,'Base Execução'!A:M,6,FALSE),0)+IFERROR(VLOOKUP(G218,'Destaque Liberado pela CPRM'!A:F,6,FALSE),0)</f>
        <v>0</v>
      </c>
      <c r="P218" s="232">
        <f>+N218-O218</f>
        <v>300000</v>
      </c>
      <c r="Q218" s="31"/>
      <c r="R218" s="231">
        <f>IFERROR(VLOOKUP(G218,'Base Execução'!$A:$K,7,FALSE),0)</f>
        <v>0</v>
      </c>
      <c r="S218" s="231">
        <f>IFERROR(VLOOKUP(G218,'Base Execução'!$A:$K,9,FALSE),0)</f>
        <v>0</v>
      </c>
      <c r="T218" s="32">
        <f>IFERROR(VLOOKUP(G218,'Base Execução'!$A:$K,11,FALSE),0)</f>
        <v>0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0</v>
      </c>
      <c r="L220" s="22">
        <f t="shared" si="99"/>
        <v>3400000</v>
      </c>
      <c r="M220" s="22">
        <f t="shared" si="99"/>
        <v>500000</v>
      </c>
      <c r="N220" s="22">
        <f t="shared" si="99"/>
        <v>2900000</v>
      </c>
      <c r="O220" s="22">
        <f t="shared" si="99"/>
        <v>343139.24</v>
      </c>
      <c r="P220" s="229">
        <f t="shared" si="99"/>
        <v>2556860.7599999998</v>
      </c>
      <c r="Q220" s="22">
        <f t="shared" si="99"/>
        <v>0</v>
      </c>
      <c r="R220" s="22">
        <f t="shared" si="99"/>
        <v>302531.46999999997</v>
      </c>
      <c r="S220" s="22">
        <f t="shared" si="99"/>
        <v>237693.18</v>
      </c>
      <c r="T220" s="22">
        <f t="shared" si="99"/>
        <v>200124.74</v>
      </c>
      <c r="U220" s="154">
        <f>+IFERROR((R220/N220),0%)</f>
        <v>0.10432119655172413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0</v>
      </c>
      <c r="L221" s="31">
        <f>IFERROR(VLOOKUP(G221,'Base Zero'!$A:$L,10,FALSE),0)</f>
        <v>3400000</v>
      </c>
      <c r="M221" s="31">
        <f>+L221-N221</f>
        <v>500000</v>
      </c>
      <c r="N221" s="32">
        <f>IFERROR(VLOOKUP(G221,'Base Zero'!$A:$P,16,FALSE),0)</f>
        <v>2900000</v>
      </c>
      <c r="O221" s="32">
        <f>IFERROR(VLOOKUP(G221,'Base Execução'!A:M,6,FALSE),0)+IFERROR(VLOOKUP(G221,'Destaque Liberado pela CPRM'!A:F,6,FALSE),0)</f>
        <v>343139.24</v>
      </c>
      <c r="P221" s="232">
        <f>+N221-O221</f>
        <v>2556860.7599999998</v>
      </c>
      <c r="Q221" s="31"/>
      <c r="R221" s="231">
        <f>IFERROR(VLOOKUP(G221,'Base Execução'!$A:$K,7,FALSE),0)</f>
        <v>302531.46999999997</v>
      </c>
      <c r="S221" s="231">
        <f>IFERROR(VLOOKUP(G221,'Base Execução'!$A:$K,9,FALSE),0)</f>
        <v>237693.18</v>
      </c>
      <c r="T221" s="32">
        <f>IFERROR(VLOOKUP(G221,'Base Execução'!$A:$K,11,FALSE),0)</f>
        <v>200124.74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0</v>
      </c>
      <c r="L223" s="21">
        <f t="shared" si="100"/>
        <v>3000000</v>
      </c>
      <c r="M223" s="21">
        <f t="shared" si="100"/>
        <v>0</v>
      </c>
      <c r="N223" s="21">
        <f t="shared" si="100"/>
        <v>3000000</v>
      </c>
      <c r="O223" s="21">
        <f t="shared" si="100"/>
        <v>664275.41</v>
      </c>
      <c r="P223" s="21">
        <f t="shared" si="100"/>
        <v>2335724.59</v>
      </c>
      <c r="Q223" s="22">
        <f t="shared" si="100"/>
        <v>0</v>
      </c>
      <c r="R223" s="21">
        <f t="shared" si="100"/>
        <v>634553.75</v>
      </c>
      <c r="S223" s="21">
        <f t="shared" si="100"/>
        <v>634553.75</v>
      </c>
      <c r="T223" s="21">
        <f t="shared" si="100"/>
        <v>483748.13</v>
      </c>
      <c r="U223" s="156">
        <f>+IFERROR((R223/N223),0%)</f>
        <v>0.21151791666666667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655635.41</v>
      </c>
      <c r="P226" s="32">
        <f t="shared" si="102"/>
        <v>1544364.59</v>
      </c>
      <c r="Q226" s="32">
        <f t="shared" si="102"/>
        <v>0</v>
      </c>
      <c r="R226" s="32">
        <f t="shared" si="102"/>
        <v>634553.75</v>
      </c>
      <c r="S226" s="32">
        <f t="shared" si="102"/>
        <v>634553.75</v>
      </c>
      <c r="T226" s="32">
        <f t="shared" si="102"/>
        <v>483748.13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0</v>
      </c>
      <c r="L227" s="32">
        <f t="shared" si="103"/>
        <v>800000</v>
      </c>
      <c r="M227" s="32">
        <f t="shared" si="103"/>
        <v>0</v>
      </c>
      <c r="N227" s="32">
        <f t="shared" si="103"/>
        <v>800000</v>
      </c>
      <c r="O227" s="32">
        <f t="shared" si="103"/>
        <v>8640</v>
      </c>
      <c r="P227" s="32">
        <f t="shared" si="103"/>
        <v>791360</v>
      </c>
      <c r="Q227" s="32">
        <f>Q235+Q242</f>
        <v>0</v>
      </c>
      <c r="R227" s="32">
        <f t="shared" si="103"/>
        <v>0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34143.019999999997</v>
      </c>
      <c r="P232" s="228">
        <f t="shared" si="106"/>
        <v>165856.98000000001</v>
      </c>
      <c r="Q232" s="21">
        <f t="shared" si="106"/>
        <v>0</v>
      </c>
      <c r="R232" s="21">
        <f t="shared" si="106"/>
        <v>13061.36</v>
      </c>
      <c r="S232" s="21">
        <f t="shared" si="106"/>
        <v>13061.36</v>
      </c>
      <c r="T232" s="21">
        <f t="shared" si="106"/>
        <v>12255.74</v>
      </c>
      <c r="U232" s="154">
        <f>+IFERROR((R232/N232),0%)</f>
        <v>6.5306799999999998E-2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34143.019999999997</v>
      </c>
      <c r="P233" s="231">
        <f>+N233-O233</f>
        <v>165856.98000000001</v>
      </c>
      <c r="Q233" s="32"/>
      <c r="R233" s="231">
        <f>IFERROR(VLOOKUP(G233,'Base Execução'!$A:$K,7,FALSE),0)</f>
        <v>13061.36</v>
      </c>
      <c r="S233" s="231">
        <f>IFERROR(VLOOKUP(G233,'Base Execução'!$A:$K,9,FALSE),0)</f>
        <v>13061.36</v>
      </c>
      <c r="T233" s="32">
        <f>IFERROR(VLOOKUP(G233,'Base Execução'!$A:$K,11,FALSE),0)</f>
        <v>12255.74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0</v>
      </c>
      <c r="L235" s="21">
        <f>SUM(L236:L239)</f>
        <v>2379000</v>
      </c>
      <c r="M235" s="21">
        <f t="shared" si="107"/>
        <v>0</v>
      </c>
      <c r="N235" s="21">
        <f t="shared" si="107"/>
        <v>2379000</v>
      </c>
      <c r="O235" s="21">
        <f t="shared" si="107"/>
        <v>630132.39</v>
      </c>
      <c r="P235" s="21">
        <f>SUM(P236:P239)</f>
        <v>1748867.6099999999</v>
      </c>
      <c r="Q235" s="21">
        <f>SUM(Q236:Q238)</f>
        <v>0</v>
      </c>
      <c r="R235" s="21">
        <f>SUM(R236:R239)</f>
        <v>621492.39</v>
      </c>
      <c r="S235" s="21">
        <f>SUM(S236:S239)</f>
        <v>621492.39</v>
      </c>
      <c r="T235" s="21">
        <f>SUM(T236:T239)</f>
        <v>471492.39</v>
      </c>
      <c r="U235" s="154">
        <f>+IFERROR((R235/N235),0%)</f>
        <v>0.26124102143757882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621492.39</v>
      </c>
      <c r="P237" s="231">
        <f>+N237-O237</f>
        <v>957507.61</v>
      </c>
      <c r="Q237" s="33"/>
      <c r="R237" s="231">
        <f>IFERROR(VLOOKUP(G237,'Base Execução'!$A:$K,7,FALSE),0)</f>
        <v>621492.39</v>
      </c>
      <c r="S237" s="231">
        <f>IFERROR(VLOOKUP(G237,'Base Execução'!$A:$K,9,FALSE),0)</f>
        <v>621492.39</v>
      </c>
      <c r="T237" s="32">
        <f>IFERROR(VLOOKUP(G237,'Base Execução'!$A:$K,11,FALSE),0)</f>
        <v>471492.39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0</v>
      </c>
      <c r="L238" s="32">
        <f>IFERROR(VLOOKUP(G238,'Base Zero'!$A:$L,10,FALSE),0)</f>
        <v>800000</v>
      </c>
      <c r="M238" s="32">
        <f>+L238-N238</f>
        <v>0</v>
      </c>
      <c r="N238" s="32">
        <f>IFERROR(VLOOKUP(G238,'Base Zero'!$A:$P,16,FALSE),0)</f>
        <v>800000</v>
      </c>
      <c r="O238" s="32">
        <f>IFERROR(VLOOKUP(G238,'Base Execução'!A:M,6,FALSE),0)+IFERROR(VLOOKUP(G238,'Destaque Liberado pela CPRM'!A:F,6,FALSE),0)</f>
        <v>8640</v>
      </c>
      <c r="P238" s="231">
        <f>+N238-O238</f>
        <v>791360</v>
      </c>
      <c r="Q238" s="32"/>
      <c r="R238" s="231">
        <f>IFERROR(VLOOKUP(G238,'Base Execução'!$A:$K,7,FALSE),0)</f>
        <v>0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0</v>
      </c>
      <c r="L256" s="21">
        <f t="shared" si="113"/>
        <v>10000000</v>
      </c>
      <c r="M256" s="21">
        <f t="shared" si="113"/>
        <v>0</v>
      </c>
      <c r="N256" s="21">
        <f t="shared" si="113"/>
        <v>10000000</v>
      </c>
      <c r="O256" s="21">
        <f t="shared" si="113"/>
        <v>2674630.58</v>
      </c>
      <c r="P256" s="21">
        <f t="shared" si="113"/>
        <v>7325369.4199999999</v>
      </c>
      <c r="Q256" s="22">
        <f t="shared" si="113"/>
        <v>0</v>
      </c>
      <c r="R256" s="21">
        <f t="shared" si="113"/>
        <v>2566132.15</v>
      </c>
      <c r="S256" s="21">
        <f t="shared" si="113"/>
        <v>1000519.5700000001</v>
      </c>
      <c r="T256" s="21">
        <f t="shared" si="113"/>
        <v>395108.69</v>
      </c>
      <c r="U256" s="156">
        <f>+IFERROR((R256/N256),0%)</f>
        <v>0.25661321500000001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0</v>
      </c>
      <c r="L258" s="32">
        <f t="shared" si="114"/>
        <v>9000000</v>
      </c>
      <c r="M258" s="32">
        <f t="shared" si="114"/>
        <v>0</v>
      </c>
      <c r="N258" s="32">
        <f t="shared" si="114"/>
        <v>9000000</v>
      </c>
      <c r="O258" s="32">
        <f t="shared" si="114"/>
        <v>2454115.58</v>
      </c>
      <c r="P258" s="32">
        <f t="shared" si="114"/>
        <v>6545884.4199999999</v>
      </c>
      <c r="Q258" s="32">
        <f t="shared" ref="Q258" si="115">Q264+Q268+Q272+Q275</f>
        <v>0</v>
      </c>
      <c r="R258" s="32">
        <f t="shared" si="114"/>
        <v>2350216.15</v>
      </c>
      <c r="S258" s="32">
        <f t="shared" si="114"/>
        <v>1000519.5700000001</v>
      </c>
      <c r="T258" s="32">
        <f t="shared" si="114"/>
        <v>395108.69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220515</v>
      </c>
      <c r="P259" s="32">
        <f t="shared" si="116"/>
        <v>779485</v>
      </c>
      <c r="Q259" s="32">
        <f t="shared" si="116"/>
        <v>0</v>
      </c>
      <c r="R259" s="32">
        <f t="shared" si="116"/>
        <v>215916</v>
      </c>
      <c r="S259" s="32">
        <f t="shared" si="116"/>
        <v>0</v>
      </c>
      <c r="T259" s="32">
        <f t="shared" si="116"/>
        <v>0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1193652.8199999998</v>
      </c>
      <c r="P263" s="22">
        <f t="shared" si="118"/>
        <v>1806346.1800000002</v>
      </c>
      <c r="Q263" s="22">
        <f t="shared" si="118"/>
        <v>0</v>
      </c>
      <c r="R263" s="22">
        <f t="shared" si="118"/>
        <v>1150857.1800000002</v>
      </c>
      <c r="S263" s="22">
        <f t="shared" si="118"/>
        <v>702887.29</v>
      </c>
      <c r="T263" s="22">
        <f t="shared" si="118"/>
        <v>133526.93</v>
      </c>
      <c r="U263" s="154">
        <f>+IFERROR((R263/N263),0%)</f>
        <v>0.38361918787306271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973137.82</v>
      </c>
      <c r="P264" s="231">
        <f>+N264-O264</f>
        <v>1026861.18</v>
      </c>
      <c r="Q264" s="32"/>
      <c r="R264" s="231">
        <f>IFERROR(VLOOKUP(G264,'Base Execução'!$A:$K,7,FALSE),0)</f>
        <v>934941.18</v>
      </c>
      <c r="S264" s="231">
        <f>IFERROR(VLOOKUP(G264,'Base Execução'!$A:$K,9,FALSE),0)</f>
        <v>702887.29</v>
      </c>
      <c r="T264" s="32">
        <f>IFERROR(VLOOKUP(G264,'Base Execução'!$A:$K,11,FALSE),0)</f>
        <v>133526.93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220515</v>
      </c>
      <c r="P265" s="231">
        <f>+N265-O265</f>
        <v>779485</v>
      </c>
      <c r="Q265" s="33"/>
      <c r="R265" s="231">
        <f>IFERROR(VLOOKUP(G265,'Base Execução'!$A:$K,7,FALSE),0)</f>
        <v>215916</v>
      </c>
      <c r="S265" s="231">
        <f>IFERROR(VLOOKUP(G265,'Base Execução'!$A:$K,9,FALSE),0)</f>
        <v>0</v>
      </c>
      <c r="T265" s="32">
        <f>IFERROR(VLOOKUP(G265,'Base Execução'!$A:$K,11,FALSE),0)</f>
        <v>0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0</v>
      </c>
      <c r="L267" s="22">
        <f t="shared" si="119"/>
        <v>5000000</v>
      </c>
      <c r="M267" s="22">
        <f t="shared" si="119"/>
        <v>0</v>
      </c>
      <c r="N267" s="22">
        <f t="shared" si="119"/>
        <v>5000000</v>
      </c>
      <c r="O267" s="22">
        <f t="shared" si="119"/>
        <v>353013.87</v>
      </c>
      <c r="P267" s="229">
        <f t="shared" si="119"/>
        <v>4646986.13</v>
      </c>
      <c r="Q267" s="22">
        <f t="shared" si="119"/>
        <v>0</v>
      </c>
      <c r="R267" s="22">
        <f t="shared" si="119"/>
        <v>318360.3</v>
      </c>
      <c r="S267" s="22">
        <f t="shared" si="119"/>
        <v>256479.54</v>
      </c>
      <c r="T267" s="22">
        <f t="shared" si="119"/>
        <v>223080.8</v>
      </c>
      <c r="U267" s="154">
        <f>+IFERROR((R267/N267),0%)</f>
        <v>6.3672060000000003E-2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0</v>
      </c>
      <c r="L268" s="32">
        <f>IFERROR(VLOOKUP(G268,'Base Zero'!$A:$L,10,FALSE),0)</f>
        <v>5000000</v>
      </c>
      <c r="M268" s="32">
        <f>+L268-N268</f>
        <v>0</v>
      </c>
      <c r="N268" s="32">
        <f>IFERROR(VLOOKUP(G268,'Base Zero'!$A:$P,16,FALSE),0)</f>
        <v>5000000</v>
      </c>
      <c r="O268" s="32">
        <f>IFERROR(VLOOKUP(G268,'Base Execução'!A:M,6,FALSE),0)+IFERROR(VLOOKUP(G268,'Destaque Liberado pela CPRM'!A:F,6,FALSE),0)</f>
        <v>353013.87</v>
      </c>
      <c r="P268" s="231">
        <f>+N268-O268</f>
        <v>4646986.13</v>
      </c>
      <c r="Q268" s="32"/>
      <c r="R268" s="231">
        <f>IFERROR(VLOOKUP(G268,'Base Execução'!$A:$K,7,FALSE),0)</f>
        <v>318360.3</v>
      </c>
      <c r="S268" s="231">
        <f>IFERROR(VLOOKUP(G268,'Base Execução'!$A:$K,9,FALSE),0)</f>
        <v>256479.54</v>
      </c>
      <c r="T268" s="32">
        <f>IFERROR(VLOOKUP(G268,'Base Execução'!$A:$K,11,FALSE),0)</f>
        <v>223080.8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0</v>
      </c>
      <c r="L271" s="22">
        <f t="shared" si="120"/>
        <v>1000000</v>
      </c>
      <c r="M271" s="22">
        <f t="shared" si="120"/>
        <v>0</v>
      </c>
      <c r="N271" s="22">
        <f t="shared" si="120"/>
        <v>1000000</v>
      </c>
      <c r="O271" s="22">
        <f t="shared" si="120"/>
        <v>127963.89</v>
      </c>
      <c r="P271" s="229">
        <f t="shared" si="120"/>
        <v>872036.11</v>
      </c>
      <c r="Q271" s="22">
        <f t="shared" si="120"/>
        <v>0</v>
      </c>
      <c r="R271" s="22">
        <f t="shared" si="120"/>
        <v>96914.67</v>
      </c>
      <c r="S271" s="22">
        <f t="shared" si="120"/>
        <v>41152.74</v>
      </c>
      <c r="T271" s="22">
        <f t="shared" si="120"/>
        <v>38500.959999999999</v>
      </c>
      <c r="U271" s="154">
        <f>+IFERROR((R271/N271),0%)</f>
        <v>9.6914669999999994E-2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0</v>
      </c>
      <c r="L272" s="32">
        <f>IFERROR(VLOOKUP(G272,'Base Zero'!$A:$L,10,FALSE),0)</f>
        <v>1000000</v>
      </c>
      <c r="M272" s="32">
        <f>+L272-N272</f>
        <v>0</v>
      </c>
      <c r="N272" s="32">
        <f>IFERROR(VLOOKUP(G272,'Base Zero'!$A:$P,16,FALSE),0)</f>
        <v>1000000</v>
      </c>
      <c r="O272" s="32">
        <f>IFERROR(VLOOKUP(G272,'Base Execução'!A:M,6,FALSE),0)+IFERROR(VLOOKUP(G272,'Destaque Liberado pela CPRM'!A:F,6,FALSE),0)</f>
        <v>127963.89</v>
      </c>
      <c r="P272" s="231">
        <f>+N272-O272</f>
        <v>872036.11</v>
      </c>
      <c r="Q272" s="32"/>
      <c r="R272" s="231">
        <f>IFERROR(VLOOKUP(G272,'Base Execução'!$A:$K,7,FALSE),0)</f>
        <v>96914.67</v>
      </c>
      <c r="S272" s="231">
        <f>IFERROR(VLOOKUP(G272,'Base Execução'!$A:$K,9,FALSE),0)</f>
        <v>41152.74</v>
      </c>
      <c r="T272" s="32">
        <f>IFERROR(VLOOKUP(G272,'Base Execução'!$A:$K,11,FALSE),0)</f>
        <v>38500.959999999999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0</v>
      </c>
      <c r="L280" s="21">
        <f t="shared" si="123"/>
        <v>1500000</v>
      </c>
      <c r="M280" s="21">
        <f t="shared" si="123"/>
        <v>0</v>
      </c>
      <c r="N280" s="21">
        <f t="shared" si="123"/>
        <v>1500000</v>
      </c>
      <c r="O280" s="21">
        <f t="shared" si="123"/>
        <v>127694.48</v>
      </c>
      <c r="P280" s="21">
        <f t="shared" si="123"/>
        <v>1372305.52</v>
      </c>
      <c r="Q280" s="22">
        <f t="shared" si="123"/>
        <v>0</v>
      </c>
      <c r="R280" s="21">
        <f t="shared" si="123"/>
        <v>70408.09</v>
      </c>
      <c r="S280" s="21">
        <f t="shared" si="123"/>
        <v>70408.09</v>
      </c>
      <c r="T280" s="21">
        <f t="shared" si="123"/>
        <v>69494.09</v>
      </c>
      <c r="U280" s="156">
        <f>+IFERROR((R280/N280),0%)</f>
        <v>4.6938726666666666E-2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0</v>
      </c>
      <c r="L282" s="32">
        <f t="shared" si="124"/>
        <v>1408632</v>
      </c>
      <c r="M282" s="32">
        <f t="shared" si="124"/>
        <v>0</v>
      </c>
      <c r="N282" s="32">
        <f t="shared" si="124"/>
        <v>1408632</v>
      </c>
      <c r="O282" s="32">
        <f t="shared" si="124"/>
        <v>127694.48</v>
      </c>
      <c r="P282" s="32">
        <f t="shared" si="124"/>
        <v>1280937.52</v>
      </c>
      <c r="Q282" s="32">
        <f t="shared" si="124"/>
        <v>0</v>
      </c>
      <c r="R282" s="32">
        <f t="shared" si="124"/>
        <v>70408.09</v>
      </c>
      <c r="S282" s="32">
        <f t="shared" si="124"/>
        <v>70408.09</v>
      </c>
      <c r="T282" s="32">
        <f t="shared" si="124"/>
        <v>69494.09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0</v>
      </c>
      <c r="L283" s="32">
        <f t="shared" si="125"/>
        <v>91368</v>
      </c>
      <c r="M283" s="32">
        <f t="shared" si="125"/>
        <v>0</v>
      </c>
      <c r="N283" s="32">
        <f t="shared" si="125"/>
        <v>91368</v>
      </c>
      <c r="O283" s="32">
        <f t="shared" si="125"/>
        <v>0</v>
      </c>
      <c r="P283" s="32">
        <f t="shared" si="125"/>
        <v>91368</v>
      </c>
      <c r="Q283" s="32">
        <f t="shared" si="125"/>
        <v>0</v>
      </c>
      <c r="R283" s="32">
        <f t="shared" si="125"/>
        <v>0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0</v>
      </c>
      <c r="L286" s="22">
        <f t="shared" si="126"/>
        <v>1500000</v>
      </c>
      <c r="M286" s="22">
        <f t="shared" si="126"/>
        <v>0</v>
      </c>
      <c r="N286" s="22">
        <f t="shared" si="126"/>
        <v>1500000</v>
      </c>
      <c r="O286" s="22">
        <f t="shared" si="126"/>
        <v>127694.48</v>
      </c>
      <c r="P286" s="22">
        <f t="shared" si="126"/>
        <v>1372305.52</v>
      </c>
      <c r="Q286" s="22">
        <f t="shared" si="126"/>
        <v>0</v>
      </c>
      <c r="R286" s="22">
        <f t="shared" si="126"/>
        <v>70408.09</v>
      </c>
      <c r="S286" s="22">
        <f t="shared" si="126"/>
        <v>70408.09</v>
      </c>
      <c r="T286" s="22">
        <f t="shared" si="126"/>
        <v>69494.09</v>
      </c>
      <c r="U286" s="154">
        <f>+IFERROR((R286/N286),0%)</f>
        <v>4.6938726666666666E-2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0</v>
      </c>
      <c r="L287" s="32">
        <f>IFERROR(VLOOKUP(G287,'Base Zero'!$A:$L,10,FALSE),0)</f>
        <v>1408632</v>
      </c>
      <c r="M287" s="32">
        <f>+L287-N287</f>
        <v>0</v>
      </c>
      <c r="N287" s="32">
        <f>IFERROR(VLOOKUP(G287,'Base Zero'!$A:$P,16,FALSE),0)</f>
        <v>1408632</v>
      </c>
      <c r="O287" s="32">
        <f>IFERROR(VLOOKUP(G287,'Base Execução'!A:M,6,FALSE),0)+IFERROR(VLOOKUP(G287,'Destaque Liberado pela CPRM'!A:F,6,FALSE),0)</f>
        <v>127694.48</v>
      </c>
      <c r="P287" s="231">
        <f>+N287-O287</f>
        <v>1280937.52</v>
      </c>
      <c r="Q287" s="32"/>
      <c r="R287" s="231">
        <f>IFERROR(VLOOKUP(G287,'Base Execução'!$A:$K,7,FALSE),0)</f>
        <v>70408.09</v>
      </c>
      <c r="S287" s="231">
        <f>IFERROR(VLOOKUP(G287,'Base Execução'!$A:$K,9,FALSE),0)</f>
        <v>70408.09</v>
      </c>
      <c r="T287" s="32">
        <f>IFERROR(VLOOKUP(G287,'Base Execução'!$A:$K,11,FALSE),0)</f>
        <v>69494.09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0</v>
      </c>
      <c r="L288" s="32">
        <f>IFERROR(VLOOKUP(G288,'Base Zero'!$A:$L,10,FALSE),0)</f>
        <v>91368</v>
      </c>
      <c r="M288" s="32">
        <f>+L288-N288</f>
        <v>0</v>
      </c>
      <c r="N288" s="32">
        <f>IFERROR(VLOOKUP(G288,'Base Zero'!$A:$P,16,FALSE),0)</f>
        <v>91368</v>
      </c>
      <c r="O288" s="32">
        <f>IFERROR(VLOOKUP(G288,'Base Execução'!A:M,6,FALSE),0)+IFERROR(VLOOKUP(G288,'Destaque Liberado pela CPRM'!A:F,6,FALSE),0)</f>
        <v>0</v>
      </c>
      <c r="P288" s="231">
        <f>+N288-O288</f>
        <v>91368</v>
      </c>
      <c r="Q288" s="33"/>
      <c r="R288" s="231">
        <f>IFERROR(VLOOKUP(G288,'Base Execução'!$A:$K,7,FALSE),0)</f>
        <v>0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SUM(H292:H296)</f>
        <v>7500000</v>
      </c>
      <c r="I290" s="21">
        <f t="shared" ref="I290:T290" si="127">SUM(I292:I296)</f>
        <v>0</v>
      </c>
      <c r="J290" s="21">
        <f t="shared" si="127"/>
        <v>7500000</v>
      </c>
      <c r="K290" s="21">
        <f t="shared" si="127"/>
        <v>0</v>
      </c>
      <c r="L290" s="21">
        <f t="shared" si="127"/>
        <v>7500000</v>
      </c>
      <c r="M290" s="21">
        <f t="shared" si="127"/>
        <v>0</v>
      </c>
      <c r="N290" s="21">
        <f t="shared" si="127"/>
        <v>7500000</v>
      </c>
      <c r="O290" s="21">
        <f t="shared" si="127"/>
        <v>689731.29</v>
      </c>
      <c r="P290" s="21">
        <f t="shared" si="127"/>
        <v>6810268.709999999</v>
      </c>
      <c r="Q290" s="22">
        <f>SUM(Q292:Q294)</f>
        <v>0</v>
      </c>
      <c r="R290" s="21">
        <f t="shared" si="127"/>
        <v>577470.79</v>
      </c>
      <c r="S290" s="21">
        <f t="shared" si="127"/>
        <v>350003.74</v>
      </c>
      <c r="T290" s="21">
        <f t="shared" si="127"/>
        <v>221292.25</v>
      </c>
      <c r="U290" s="156">
        <f>+IFERROR((R290/N290),0%)</f>
        <v>7.6996105333333342E-2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H300+H307+H311+H315</f>
        <v>5200000</v>
      </c>
      <c r="I292" s="32">
        <f t="shared" ref="I292:T292" si="128">I300+I307+I311+I315</f>
        <v>0</v>
      </c>
      <c r="J292" s="32">
        <f t="shared" si="128"/>
        <v>5200000</v>
      </c>
      <c r="K292" s="32">
        <f t="shared" si="128"/>
        <v>0</v>
      </c>
      <c r="L292" s="32">
        <f t="shared" si="128"/>
        <v>5200000</v>
      </c>
      <c r="M292" s="32">
        <f t="shared" si="128"/>
        <v>0</v>
      </c>
      <c r="N292" s="32">
        <f t="shared" si="128"/>
        <v>5200000</v>
      </c>
      <c r="O292" s="32">
        <f t="shared" si="128"/>
        <v>611300.78</v>
      </c>
      <c r="P292" s="32">
        <f t="shared" si="128"/>
        <v>4588699.22</v>
      </c>
      <c r="Q292" s="32">
        <f t="shared" si="128"/>
        <v>0</v>
      </c>
      <c r="R292" s="32">
        <f t="shared" si="128"/>
        <v>520009.87999999995</v>
      </c>
      <c r="S292" s="32">
        <f t="shared" si="128"/>
        <v>341232.94</v>
      </c>
      <c r="T292" s="32">
        <f t="shared" si="128"/>
        <v>212521.45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H301+H308+H312+H316</f>
        <v>1600000</v>
      </c>
      <c r="I293" s="32">
        <f t="shared" ref="I293:T293" si="129">I301+I308+I312+I316</f>
        <v>0</v>
      </c>
      <c r="J293" s="32">
        <f t="shared" si="129"/>
        <v>1600000</v>
      </c>
      <c r="K293" s="32">
        <f t="shared" si="129"/>
        <v>0</v>
      </c>
      <c r="L293" s="32">
        <f t="shared" si="129"/>
        <v>1600000</v>
      </c>
      <c r="M293" s="32">
        <f t="shared" si="129"/>
        <v>0</v>
      </c>
      <c r="N293" s="32">
        <f t="shared" si="129"/>
        <v>1600000</v>
      </c>
      <c r="O293" s="32">
        <f t="shared" si="129"/>
        <v>48690.11</v>
      </c>
      <c r="P293" s="32">
        <f t="shared" si="129"/>
        <v>1551309.89</v>
      </c>
      <c r="Q293" s="32">
        <f t="shared" ref="Q293" si="130">Q301</f>
        <v>0</v>
      </c>
      <c r="R293" s="32">
        <f t="shared" si="129"/>
        <v>48690.11</v>
      </c>
      <c r="S293" s="32">
        <f t="shared" si="129"/>
        <v>0</v>
      </c>
      <c r="T293" s="32">
        <f t="shared" si="129"/>
        <v>0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H302+H319</f>
        <v>700000</v>
      </c>
      <c r="I294" s="32">
        <f t="shared" ref="I294:T294" si="131">I302+I319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29740.400000000001</v>
      </c>
      <c r="P294" s="32">
        <f t="shared" si="131"/>
        <v>670259.6</v>
      </c>
      <c r="Q294" s="32">
        <f t="shared" ref="Q294" si="132">Q302</f>
        <v>0</v>
      </c>
      <c r="R294" s="32">
        <f t="shared" si="131"/>
        <v>8770.7999999999993</v>
      </c>
      <c r="S294" s="32">
        <f t="shared" si="131"/>
        <v>8770.7999999999993</v>
      </c>
      <c r="T294" s="32">
        <f t="shared" si="131"/>
        <v>8770.7999999999993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/>
      <c r="H295" s="32">
        <f>H303</f>
        <v>0</v>
      </c>
      <c r="I295" s="32">
        <f t="shared" ref="I295:T295" si="133">I303</f>
        <v>0</v>
      </c>
      <c r="J295" s="32">
        <f t="shared" si="133"/>
        <v>0</v>
      </c>
      <c r="K295" s="32">
        <f t="shared" si="133"/>
        <v>0</v>
      </c>
      <c r="L295" s="32">
        <f t="shared" si="133"/>
        <v>0</v>
      </c>
      <c r="M295" s="32">
        <f t="shared" si="133"/>
        <v>0</v>
      </c>
      <c r="N295" s="32">
        <f t="shared" si="133"/>
        <v>0</v>
      </c>
      <c r="O295" s="32">
        <f t="shared" si="133"/>
        <v>0</v>
      </c>
      <c r="P295" s="32">
        <f t="shared" si="133"/>
        <v>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/>
      <c r="C297" s="278"/>
      <c r="D297" s="40"/>
      <c r="E297" s="278"/>
      <c r="F297" s="279"/>
      <c r="G297" s="40"/>
      <c r="H297" s="32"/>
      <c r="I297" s="32"/>
      <c r="J297" s="32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24.95" customHeight="1" x14ac:dyDescent="0.2">
      <c r="A298" s="95"/>
      <c r="B298" s="424" t="s">
        <v>280</v>
      </c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8" t="s">
        <v>128</v>
      </c>
      <c r="C299" s="269"/>
      <c r="D299" s="40"/>
      <c r="E299" s="278"/>
      <c r="F299" s="279"/>
      <c r="G299" s="40"/>
      <c r="H299" s="21">
        <f>SUM(H300:H304)</f>
        <v>200000</v>
      </c>
      <c r="I299" s="21">
        <f t="shared" ref="I299:P299" si="135">SUM(I300:I304)</f>
        <v>0</v>
      </c>
      <c r="J299" s="21">
        <f t="shared" si="135"/>
        <v>200000</v>
      </c>
      <c r="K299" s="21">
        <f t="shared" si="135"/>
        <v>0</v>
      </c>
      <c r="L299" s="21">
        <f t="shared" si="135"/>
        <v>200000</v>
      </c>
      <c r="M299" s="21">
        <f t="shared" si="135"/>
        <v>0</v>
      </c>
      <c r="N299" s="21">
        <f t="shared" si="135"/>
        <v>200000</v>
      </c>
      <c r="O299" s="21">
        <f t="shared" si="135"/>
        <v>57602.1</v>
      </c>
      <c r="P299" s="21">
        <f t="shared" si="135"/>
        <v>142397.9</v>
      </c>
      <c r="Q299" s="21">
        <f>SUM(Q300:Q302)</f>
        <v>0</v>
      </c>
      <c r="R299" s="21">
        <f>SUM(R300:R304)</f>
        <v>41512.1</v>
      </c>
      <c r="S299" s="21">
        <f>SUM(S300:S304)</f>
        <v>15846.75</v>
      </c>
      <c r="T299" s="21">
        <f>SUM(T300:T304)</f>
        <v>8103.6</v>
      </c>
      <c r="U299" s="154">
        <f>+IFERROR((R299/N299),0%)</f>
        <v>0.20756049999999998</v>
      </c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14" t="s">
        <v>26</v>
      </c>
      <c r="C300" s="269" t="s">
        <v>24</v>
      </c>
      <c r="D300" s="40">
        <v>174238</v>
      </c>
      <c r="E300" s="269">
        <v>3</v>
      </c>
      <c r="F300" s="313">
        <v>142</v>
      </c>
      <c r="G300" s="40" t="str">
        <f>CONCATENATE(D300,"-",E300,"-",F300)</f>
        <v>174238-3-142</v>
      </c>
      <c r="H300" s="32">
        <f>IFERROR(VLOOKUP(G300,'Base Zero'!A:L,6,FALSE),0)</f>
        <v>200000</v>
      </c>
      <c r="I300" s="32">
        <f>IFERROR(VLOOKUP(G300,'Base Zero'!A:L,7,FALSE),0)</f>
        <v>0</v>
      </c>
      <c r="J300" s="23">
        <f>(H300+I300)</f>
        <v>200000</v>
      </c>
      <c r="K300" s="32">
        <f>(L300-J300)</f>
        <v>0</v>
      </c>
      <c r="L300" s="32">
        <f>IFERROR(VLOOKUP(G300,'Base Zero'!$A:$L,10,FALSE),0)</f>
        <v>200000</v>
      </c>
      <c r="M300" s="32">
        <f>+L300-N300</f>
        <v>0</v>
      </c>
      <c r="N300" s="32">
        <f>IFERROR(VLOOKUP(G300,'Base Zero'!$A:$P,16,FALSE),0)</f>
        <v>200000</v>
      </c>
      <c r="O300" s="32">
        <f>IFERROR(VLOOKUP(G300,'Base Execução'!A:M,6,FALSE),0)+IFERROR(VLOOKUP(G300,'Destaque Liberado pela CPRM'!A:F,6,FALSE),0)</f>
        <v>57602.1</v>
      </c>
      <c r="P300" s="231">
        <f>+N300-O300</f>
        <v>142397.9</v>
      </c>
      <c r="Q300" s="33"/>
      <c r="R300" s="231">
        <f>IFERROR(VLOOKUP(G300,'Base Execução'!$A:$K,7,FALSE),0)</f>
        <v>41512.1</v>
      </c>
      <c r="S300" s="231">
        <f>IFERROR(VLOOKUP(G300,'Base Execução'!$A:$K,9,FALSE),0)</f>
        <v>15846.75</v>
      </c>
      <c r="T300" s="32">
        <f>IFERROR(VLOOKUP(G300,'Base Execução'!$A:$K,11,FALSE),0)</f>
        <v>8103.6</v>
      </c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78" t="s">
        <v>27</v>
      </c>
      <c r="D301" s="40">
        <v>174238</v>
      </c>
      <c r="E301" s="269">
        <v>4</v>
      </c>
      <c r="F301" s="313">
        <v>142</v>
      </c>
      <c r="G301" s="40" t="str">
        <f>CONCATENATE(D301,"-",E301,"-",F301)</f>
        <v>174238-4-142</v>
      </c>
      <c r="H301" s="32">
        <f>IFERROR(VLOOKUP(G301,'Base Zero'!A:L,6,FALSE),0)</f>
        <v>0</v>
      </c>
      <c r="I301" s="32">
        <f>IFERROR(VLOOKUP(G301,'Base Zero'!A:L,7,FALSE),0)</f>
        <v>0</v>
      </c>
      <c r="J301" s="23">
        <f>(H301+I301)</f>
        <v>0</v>
      </c>
      <c r="K301" s="32">
        <f>(L301-J301)</f>
        <v>0</v>
      </c>
      <c r="L301" s="32">
        <f>IFERROR(VLOOKUP(G301,'Base Zero'!$A:$L,10,FALSE),0)</f>
        <v>0</v>
      </c>
      <c r="M301" s="32">
        <f>+L301-N301</f>
        <v>0</v>
      </c>
      <c r="N301" s="32">
        <f>IFERROR(VLOOKUP(G301,'Base Zero'!$A:$P,16,FALSE),0)</f>
        <v>0</v>
      </c>
      <c r="O301" s="32">
        <f>IFERROR(VLOOKUP(G301,'Base Execução'!A:M,6,FALSE),0)+IFERROR(VLOOKUP(G301,'Destaque Liberado pela CPRM'!A:F,6,FALSE),0)</f>
        <v>0</v>
      </c>
      <c r="P301" s="231">
        <f>+N301-O301</f>
        <v>0</v>
      </c>
      <c r="Q301" s="33"/>
      <c r="R301" s="231">
        <f>IFERROR(VLOOKUP(G301,'Base Execução'!$A:$K,7,FALSE),0)</f>
        <v>0</v>
      </c>
      <c r="S301" s="231">
        <f>IFERROR(VLOOKUP(G301,'Base Execução'!$A:$K,9,FALSE),0)</f>
        <v>0</v>
      </c>
      <c r="T301" s="32">
        <f>IFERROR(VLOOKUP(G301,'Base Execução'!$A:$K,11,FALSE),0)</f>
        <v>0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25</v>
      </c>
      <c r="C302" s="278" t="s">
        <v>24</v>
      </c>
      <c r="D302" s="40">
        <v>174238</v>
      </c>
      <c r="E302" s="278">
        <v>3</v>
      </c>
      <c r="F302" s="313">
        <v>181</v>
      </c>
      <c r="G302" s="40" t="str">
        <f>CONCATENATE(D302,"-",E302,"-",F302)</f>
        <v>174238-3-181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39</v>
      </c>
      <c r="C303" s="278" t="s">
        <v>24</v>
      </c>
      <c r="D303" s="40">
        <v>174238</v>
      </c>
      <c r="E303" s="278">
        <v>3</v>
      </c>
      <c r="F303" s="313">
        <v>350</v>
      </c>
      <c r="G303" s="40" t="str">
        <f>CONCATENATE(D303,"-",E303,"-",F303)</f>
        <v>174238-3-350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4</v>
      </c>
      <c r="F304" s="313">
        <v>350</v>
      </c>
      <c r="G304" s="40" t="str">
        <f>CONCATENATE(D304,"-",E304,"-",F304)</f>
        <v>174238-4-350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424" t="s">
        <v>281</v>
      </c>
      <c r="C305" s="278"/>
      <c r="D305" s="40"/>
      <c r="E305" s="269"/>
      <c r="F305" s="313"/>
      <c r="G305" s="40"/>
      <c r="H305" s="32"/>
      <c r="I305" s="32"/>
      <c r="J305" s="23"/>
      <c r="K305" s="32"/>
      <c r="L305" s="32"/>
      <c r="M305" s="32"/>
      <c r="N305" s="32"/>
      <c r="O305" s="32"/>
      <c r="P305" s="231"/>
      <c r="Q305" s="33"/>
      <c r="R305" s="231"/>
      <c r="S305" s="231"/>
      <c r="T305" s="32"/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95"/>
      <c r="B306" s="38" t="s">
        <v>143</v>
      </c>
      <c r="C306" s="269"/>
      <c r="D306" s="36"/>
      <c r="E306" s="35"/>
      <c r="F306" s="37"/>
      <c r="G306" s="33"/>
      <c r="H306" s="22">
        <f>SUM(H307:H308)</f>
        <v>4900000</v>
      </c>
      <c r="I306" s="22">
        <f t="shared" ref="I306:P306" si="136">SUM(I307:I308)</f>
        <v>0</v>
      </c>
      <c r="J306" s="22">
        <f t="shared" si="136"/>
        <v>4900000</v>
      </c>
      <c r="K306" s="22">
        <f t="shared" si="136"/>
        <v>0</v>
      </c>
      <c r="L306" s="22">
        <f t="shared" si="136"/>
        <v>4900000</v>
      </c>
      <c r="M306" s="22">
        <f t="shared" si="136"/>
        <v>0</v>
      </c>
      <c r="N306" s="22">
        <f t="shared" si="136"/>
        <v>4900000</v>
      </c>
      <c r="O306" s="22">
        <f t="shared" si="136"/>
        <v>360614.55</v>
      </c>
      <c r="P306" s="22">
        <f t="shared" si="136"/>
        <v>4539385.45</v>
      </c>
      <c r="Q306" s="33"/>
      <c r="R306" s="22">
        <f t="shared" ref="R306" si="137">SUM(R307:R308)</f>
        <v>336854.64999999997</v>
      </c>
      <c r="S306" s="22">
        <f t="shared" ref="S306" si="138">SUM(S307:S308)</f>
        <v>242430.13</v>
      </c>
      <c r="T306" s="22">
        <f t="shared" ref="T306" si="139">SUM(T307:T308)</f>
        <v>131450.85</v>
      </c>
      <c r="U306" s="154">
        <f>+IFERROR((R306/N306),0%)</f>
        <v>6.8745846938775501E-2</v>
      </c>
    </row>
    <row r="307" spans="1:33" ht="15" customHeight="1" x14ac:dyDescent="0.2">
      <c r="A307" s="95"/>
      <c r="B307" s="314" t="s">
        <v>26</v>
      </c>
      <c r="C307" s="269" t="s">
        <v>24</v>
      </c>
      <c r="D307" s="39">
        <v>174264</v>
      </c>
      <c r="E307" s="269">
        <v>3</v>
      </c>
      <c r="F307" s="313">
        <v>142</v>
      </c>
      <c r="G307" s="40" t="str">
        <f>CONCATENATE(D307,"-",E307,"-",F307)</f>
        <v>174264-3-142</v>
      </c>
      <c r="H307" s="32">
        <f>IFERROR(VLOOKUP(G307,'Base Zero'!A:L,6,FALSE),0)</f>
        <v>3500000</v>
      </c>
      <c r="I307" s="32">
        <f>IFERROR(VLOOKUP(G307,'Base Zero'!A:L,7,FALSE),0)</f>
        <v>0</v>
      </c>
      <c r="J307" s="23">
        <f>(H307+I307)</f>
        <v>3500000</v>
      </c>
      <c r="K307" s="32">
        <f>(L307-J307)</f>
        <v>0</v>
      </c>
      <c r="L307" s="32">
        <f>IFERROR(VLOOKUP(G307,'Base Zero'!$A:$L,10,FALSE),0)</f>
        <v>3500000</v>
      </c>
      <c r="M307" s="32">
        <f>+L307-N307</f>
        <v>0</v>
      </c>
      <c r="N307" s="32">
        <f>IFERROR(VLOOKUP(G307,'Base Zero'!$A:$P,16,FALSE),0)</f>
        <v>3500000</v>
      </c>
      <c r="O307" s="32">
        <f>IFERROR(VLOOKUP(G307,'Base Execução'!A:M,6,FALSE),0)+IFERROR(VLOOKUP(G307,'Destaque Liberado pela CPRM'!A:F,6,FALSE),0)</f>
        <v>311924.44</v>
      </c>
      <c r="P307" s="231">
        <f>+N307-O307</f>
        <v>3188075.56</v>
      </c>
      <c r="Q307" s="32"/>
      <c r="R307" s="231">
        <f>IFERROR(VLOOKUP(G307,'Base Execução'!$A:$K,7,FALSE),0)</f>
        <v>288164.53999999998</v>
      </c>
      <c r="S307" s="231">
        <f>IFERROR(VLOOKUP(G307,'Base Execução'!$A:$K,9,FALSE),0)</f>
        <v>242430.13</v>
      </c>
      <c r="T307" s="32">
        <f>IFERROR(VLOOKUP(G307,'Base Execução'!$A:$K,11,FALSE),0)</f>
        <v>131450.85</v>
      </c>
      <c r="U307" s="155"/>
    </row>
    <row r="308" spans="1:33" ht="15" customHeight="1" x14ac:dyDescent="0.2">
      <c r="A308" s="95"/>
      <c r="B308" s="314" t="s">
        <v>26</v>
      </c>
      <c r="C308" s="278" t="s">
        <v>27</v>
      </c>
      <c r="D308" s="39">
        <v>174264</v>
      </c>
      <c r="E308" s="269">
        <v>4</v>
      </c>
      <c r="F308" s="313">
        <v>142</v>
      </c>
      <c r="G308" s="40" t="str">
        <f>CONCATENATE(D308,"-",E308,"-",F308)</f>
        <v>174264-4-142</v>
      </c>
      <c r="H308" s="32">
        <f>IFERROR(VLOOKUP(G308,'Base Zero'!A:L,6,FALSE),0)</f>
        <v>1400000</v>
      </c>
      <c r="I308" s="32">
        <f>IFERROR(VLOOKUP(G308,'Base Zero'!A:L,7,FALSE),0)</f>
        <v>0</v>
      </c>
      <c r="J308" s="23">
        <f>(H308+I308)</f>
        <v>1400000</v>
      </c>
      <c r="K308" s="32">
        <f>(L308-J308)</f>
        <v>0</v>
      </c>
      <c r="L308" s="32">
        <f>IFERROR(VLOOKUP(G308,'Base Zero'!$A:$L,10,FALSE),0)</f>
        <v>1400000</v>
      </c>
      <c r="M308" s="32">
        <f>+L308-N308</f>
        <v>0</v>
      </c>
      <c r="N308" s="32">
        <f>IFERROR(VLOOKUP(G308,'Base Zero'!$A:$P,16,FALSE),0)</f>
        <v>1400000</v>
      </c>
      <c r="O308" s="32">
        <f>IFERROR(VLOOKUP(G308,'Base Execução'!A:M,6,FALSE),0)+IFERROR(VLOOKUP(G308,'Destaque Liberado pela CPRM'!A:F,6,FALSE),0)</f>
        <v>48690.11</v>
      </c>
      <c r="P308" s="231">
        <f>+N308-O308</f>
        <v>1351309.89</v>
      </c>
      <c r="Q308" s="32"/>
      <c r="R308" s="231">
        <f>IFERROR(VLOOKUP(G308,'Base Execução'!$A:$K,7,FALSE),0)</f>
        <v>48690.11</v>
      </c>
      <c r="S308" s="231">
        <f>IFERROR(VLOOKUP(G308,'Base Execução'!$A:$K,9,FALSE),0)</f>
        <v>0</v>
      </c>
      <c r="T308" s="32">
        <f>IFERROR(VLOOKUP(G308,'Base Execução'!$A:$K,11,FALSE),0)</f>
        <v>0</v>
      </c>
      <c r="U308" s="155"/>
    </row>
    <row r="309" spans="1:33" s="11" customFormat="1" ht="15" customHeight="1" x14ac:dyDescent="0.2">
      <c r="A309" s="95"/>
      <c r="B309" s="424" t="s">
        <v>172</v>
      </c>
      <c r="C309" s="278"/>
      <c r="D309" s="40"/>
      <c r="E309" s="269"/>
      <c r="F309" s="313"/>
      <c r="G309" s="40"/>
      <c r="H309" s="32"/>
      <c r="I309" s="32"/>
      <c r="J309" s="23"/>
      <c r="K309" s="32"/>
      <c r="L309" s="32"/>
      <c r="M309" s="32"/>
      <c r="N309" s="32"/>
      <c r="O309" s="32"/>
      <c r="P309" s="231"/>
      <c r="Q309" s="33"/>
      <c r="R309" s="231"/>
      <c r="S309" s="231"/>
      <c r="T309" s="32"/>
      <c r="U309" s="155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95"/>
      <c r="B310" s="38" t="s">
        <v>144</v>
      </c>
      <c r="C310" s="269"/>
      <c r="D310" s="36"/>
      <c r="E310" s="35"/>
      <c r="F310" s="37"/>
      <c r="G310" s="33"/>
      <c r="H310" s="22">
        <f>SUM(H311:H312)</f>
        <v>900000</v>
      </c>
      <c r="I310" s="22">
        <f t="shared" ref="I310:P310" si="140">SUM(I311:I312)</f>
        <v>0</v>
      </c>
      <c r="J310" s="22">
        <f t="shared" si="140"/>
        <v>900000</v>
      </c>
      <c r="K310" s="22">
        <f t="shared" si="140"/>
        <v>0</v>
      </c>
      <c r="L310" s="22">
        <f t="shared" si="140"/>
        <v>900000</v>
      </c>
      <c r="M310" s="22">
        <f t="shared" si="140"/>
        <v>0</v>
      </c>
      <c r="N310" s="22">
        <f t="shared" si="140"/>
        <v>900000</v>
      </c>
      <c r="O310" s="22">
        <f t="shared" si="140"/>
        <v>132247.98000000001</v>
      </c>
      <c r="P310" s="22">
        <f t="shared" si="140"/>
        <v>767752.02</v>
      </c>
      <c r="Q310" s="33"/>
      <c r="R310" s="22">
        <f t="shared" ref="R310" si="141">SUM(R311:R312)</f>
        <v>121635.51</v>
      </c>
      <c r="S310" s="22">
        <f t="shared" ref="S310" si="142">SUM(S311:S312)</f>
        <v>44076.17</v>
      </c>
      <c r="T310" s="22">
        <f t="shared" ref="T310" si="143">SUM(T311:T312)</f>
        <v>35384.15</v>
      </c>
      <c r="U310" s="154">
        <f>+IFERROR((R310/N310),0%)</f>
        <v>0.13515056666666667</v>
      </c>
    </row>
    <row r="311" spans="1:33" ht="15" customHeight="1" x14ac:dyDescent="0.2">
      <c r="A311" s="95"/>
      <c r="B311" s="314" t="s">
        <v>26</v>
      </c>
      <c r="C311" s="269" t="s">
        <v>24</v>
      </c>
      <c r="D311" s="39">
        <v>174268</v>
      </c>
      <c r="E311" s="269">
        <v>3</v>
      </c>
      <c r="F311" s="313">
        <v>142</v>
      </c>
      <c r="G311" s="40" t="str">
        <f>CONCATENATE(D311,"-",E311,"-",F311)</f>
        <v>174268-3-142</v>
      </c>
      <c r="H311" s="32">
        <f>IFERROR(VLOOKUP(G311,'Base Zero'!A:L,6,FALSE),0)</f>
        <v>800000</v>
      </c>
      <c r="I311" s="32">
        <f>IFERROR(VLOOKUP(G311,'Base Zero'!A:L,7,FALSE),0)</f>
        <v>0</v>
      </c>
      <c r="J311" s="23">
        <f>(H311+I311)</f>
        <v>800000</v>
      </c>
      <c r="K311" s="32">
        <f>(L311-J311)</f>
        <v>0</v>
      </c>
      <c r="L311" s="32">
        <f>IFERROR(VLOOKUP(G311,'Base Zero'!$A:$L,10,FALSE),0)</f>
        <v>800000</v>
      </c>
      <c r="M311" s="32">
        <f>+L311-N311</f>
        <v>0</v>
      </c>
      <c r="N311" s="32">
        <f>IFERROR(VLOOKUP(G311,'Base Zero'!$A:$P,16,FALSE),0)</f>
        <v>800000</v>
      </c>
      <c r="O311" s="32">
        <f>IFERROR(VLOOKUP(G311,'Base Execução'!A:M,6,FALSE),0)+IFERROR(VLOOKUP(G311,'Destaque Liberado pela CPRM'!A:F,6,FALSE),0)</f>
        <v>132247.98000000001</v>
      </c>
      <c r="P311" s="231">
        <f>+N311-O311</f>
        <v>667752.02</v>
      </c>
      <c r="Q311" s="32"/>
      <c r="R311" s="231">
        <f>IFERROR(VLOOKUP(G311,'Base Execução'!$A:$K,7,FALSE),0)</f>
        <v>121635.51</v>
      </c>
      <c r="S311" s="231">
        <f>IFERROR(VLOOKUP(G311,'Base Execução'!$A:$K,9,FALSE),0)</f>
        <v>44076.17</v>
      </c>
      <c r="T311" s="32">
        <f>IFERROR(VLOOKUP(G311,'Base Execução'!$A:$K,11,FALSE),0)</f>
        <v>35384.15</v>
      </c>
      <c r="U311" s="155"/>
    </row>
    <row r="312" spans="1:33" ht="15" customHeight="1" x14ac:dyDescent="0.2">
      <c r="A312" s="95"/>
      <c r="B312" s="314" t="s">
        <v>26</v>
      </c>
      <c r="C312" s="278" t="s">
        <v>27</v>
      </c>
      <c r="D312" s="39">
        <v>174268</v>
      </c>
      <c r="E312" s="269">
        <v>4</v>
      </c>
      <c r="F312" s="313">
        <v>142</v>
      </c>
      <c r="G312" s="40" t="str">
        <f>CONCATENATE(D312,"-",E312,"-",F312)</f>
        <v>174268-4-142</v>
      </c>
      <c r="H312" s="32">
        <f>IFERROR(VLOOKUP(G312,'Base Zero'!A:L,6,FALSE),0)</f>
        <v>100000</v>
      </c>
      <c r="I312" s="32">
        <f>IFERROR(VLOOKUP(G312,'Base Zero'!A:L,7,FALSE),0)</f>
        <v>0</v>
      </c>
      <c r="J312" s="23">
        <f>(H312+I312)</f>
        <v>100000</v>
      </c>
      <c r="K312" s="32">
        <f>(L312-J312)</f>
        <v>0</v>
      </c>
      <c r="L312" s="32">
        <f>IFERROR(VLOOKUP(G312,'Base Zero'!$A:$L,10,FALSE),0)</f>
        <v>100000</v>
      </c>
      <c r="M312" s="32">
        <f>+L312-N312</f>
        <v>0</v>
      </c>
      <c r="N312" s="32">
        <f>IFERROR(VLOOKUP(G312,'Base Zero'!$A:$P,16,FALSE),0)</f>
        <v>100000</v>
      </c>
      <c r="O312" s="32">
        <f>IFERROR(VLOOKUP(G312,'Base Execução'!A:M,6,FALSE),0)+IFERROR(VLOOKUP(G312,'Destaque Liberado pela CPRM'!A:F,6,FALSE),0)</f>
        <v>0</v>
      </c>
      <c r="P312" s="231">
        <f>+N312-O312</f>
        <v>100000</v>
      </c>
      <c r="Q312" s="32"/>
      <c r="R312" s="231">
        <f>IFERROR(VLOOKUP(G312,'Base Execução'!$A:$K,7,FALSE),0)</f>
        <v>0</v>
      </c>
      <c r="S312" s="231">
        <f>IFERROR(VLOOKUP(G312,'Base Execução'!$A:$K,9,FALSE),0)</f>
        <v>0</v>
      </c>
      <c r="T312" s="32">
        <f>IFERROR(VLOOKUP(G312,'Base Execução'!$A:$K,11,FALSE),0)</f>
        <v>0</v>
      </c>
      <c r="U312" s="155"/>
    </row>
    <row r="313" spans="1:33" s="11" customFormat="1" ht="15" customHeight="1" x14ac:dyDescent="0.2">
      <c r="A313" s="95"/>
      <c r="B313" s="424" t="s">
        <v>173</v>
      </c>
      <c r="C313" s="278"/>
      <c r="D313" s="39"/>
      <c r="E313" s="269"/>
      <c r="F313" s="313"/>
      <c r="G313" s="40"/>
      <c r="H313" s="32"/>
      <c r="I313" s="32"/>
      <c r="J313" s="23"/>
      <c r="K313" s="32"/>
      <c r="L313" s="32"/>
      <c r="M313" s="32"/>
      <c r="N313" s="32"/>
      <c r="O313" s="32"/>
      <c r="P313" s="231"/>
      <c r="Q313" s="33"/>
      <c r="R313" s="231"/>
      <c r="S313" s="231"/>
      <c r="T313" s="32"/>
      <c r="U313" s="155"/>
      <c r="V313" s="36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95"/>
      <c r="B314" s="38" t="s">
        <v>145</v>
      </c>
      <c r="C314" s="269"/>
      <c r="D314" s="36"/>
      <c r="E314" s="35"/>
      <c r="F314" s="37"/>
      <c r="G314" s="33"/>
      <c r="H314" s="22">
        <f>SUM(H315:H316)</f>
        <v>800000</v>
      </c>
      <c r="I314" s="22">
        <f t="shared" ref="I314:P314" si="144">SUM(I315:I316)</f>
        <v>0</v>
      </c>
      <c r="J314" s="22">
        <f t="shared" si="144"/>
        <v>800000</v>
      </c>
      <c r="K314" s="22">
        <f t="shared" si="144"/>
        <v>0</v>
      </c>
      <c r="L314" s="22">
        <f t="shared" si="144"/>
        <v>800000</v>
      </c>
      <c r="M314" s="22">
        <f t="shared" si="144"/>
        <v>0</v>
      </c>
      <c r="N314" s="22">
        <f t="shared" si="144"/>
        <v>800000</v>
      </c>
      <c r="O314" s="22">
        <f t="shared" si="144"/>
        <v>109526.26</v>
      </c>
      <c r="P314" s="22">
        <f t="shared" si="144"/>
        <v>690473.74</v>
      </c>
      <c r="Q314" s="33"/>
      <c r="R314" s="22">
        <f t="shared" ref="R314" si="145">SUM(R315:R316)</f>
        <v>68697.73</v>
      </c>
      <c r="S314" s="22">
        <f t="shared" ref="S314" si="146">SUM(S315:S316)</f>
        <v>38879.89</v>
      </c>
      <c r="T314" s="22">
        <f t="shared" ref="T314" si="147">SUM(T315:T316)</f>
        <v>37582.85</v>
      </c>
      <c r="U314" s="154">
        <f>+IFERROR((R314/N314),0%)</f>
        <v>8.5872162500000002E-2</v>
      </c>
    </row>
    <row r="315" spans="1:33" ht="15" customHeight="1" x14ac:dyDescent="0.2">
      <c r="A315" s="95"/>
      <c r="B315" s="314" t="s">
        <v>26</v>
      </c>
      <c r="C315" s="269" t="s">
        <v>24</v>
      </c>
      <c r="D315" s="39">
        <v>174271</v>
      </c>
      <c r="E315" s="269">
        <v>3</v>
      </c>
      <c r="F315" s="313">
        <v>142</v>
      </c>
      <c r="G315" s="40" t="str">
        <f>CONCATENATE(D315,"-",E315,"-",F315)</f>
        <v>174271-3-142</v>
      </c>
      <c r="H315" s="32">
        <f>IFERROR(VLOOKUP(G315,'Base Zero'!A:L,6,FALSE),0)</f>
        <v>700000</v>
      </c>
      <c r="I315" s="32">
        <f>IFERROR(VLOOKUP(G315,'Base Zero'!A:L,7,FALSE),0)</f>
        <v>0</v>
      </c>
      <c r="J315" s="23">
        <f>(H315+I315)</f>
        <v>700000</v>
      </c>
      <c r="K315" s="32">
        <f>(L315-J315)</f>
        <v>0</v>
      </c>
      <c r="L315" s="32">
        <f>IFERROR(VLOOKUP(G315,'Base Zero'!$A:$L,10,FALSE),0)</f>
        <v>700000</v>
      </c>
      <c r="M315" s="32">
        <f>+L315-N315</f>
        <v>0</v>
      </c>
      <c r="N315" s="32">
        <f>IFERROR(VLOOKUP(G315,'Base Zero'!$A:$P,16,FALSE),0)</f>
        <v>700000</v>
      </c>
      <c r="O315" s="32">
        <f>IFERROR(VLOOKUP(G315,'Base Execução'!A:M,6,FALSE),0)+IFERROR(VLOOKUP(G315,'Destaque Liberado pela CPRM'!A:F,6,FALSE),0)</f>
        <v>109526.26</v>
      </c>
      <c r="P315" s="231">
        <f>+N315-O315</f>
        <v>590473.74</v>
      </c>
      <c r="Q315" s="32"/>
      <c r="R315" s="231">
        <f>IFERROR(VLOOKUP(G315,'Base Execução'!$A:$K,7,FALSE),0)</f>
        <v>68697.73</v>
      </c>
      <c r="S315" s="231">
        <f>IFERROR(VLOOKUP(G315,'Base Execução'!$A:$K,9,FALSE),0)</f>
        <v>38879.89</v>
      </c>
      <c r="T315" s="32">
        <f>IFERROR(VLOOKUP(G315,'Base Execução'!$A:$K,11,FALSE),0)</f>
        <v>37582.85</v>
      </c>
      <c r="U315" s="155"/>
    </row>
    <row r="316" spans="1:33" ht="15" customHeight="1" x14ac:dyDescent="0.2">
      <c r="A316" s="95"/>
      <c r="B316" s="314" t="s">
        <v>26</v>
      </c>
      <c r="C316" s="278" t="s">
        <v>27</v>
      </c>
      <c r="D316" s="39">
        <v>174271</v>
      </c>
      <c r="E316" s="269">
        <v>4</v>
      </c>
      <c r="F316" s="313">
        <v>142</v>
      </c>
      <c r="G316" s="40" t="str">
        <f>CONCATENATE(D316,"-",E316,"-",F316)</f>
        <v>174271-4-142</v>
      </c>
      <c r="H316" s="32">
        <f>IFERROR(VLOOKUP(G316,'Base Zero'!A:L,6,FALSE),0)</f>
        <v>100000</v>
      </c>
      <c r="I316" s="32">
        <f>IFERROR(VLOOKUP(G316,'Base Zero'!A:L,7,FALSE),0)</f>
        <v>0</v>
      </c>
      <c r="J316" s="23">
        <f>(H316+I316)</f>
        <v>100000</v>
      </c>
      <c r="K316" s="32">
        <f>(L316-J316)</f>
        <v>0</v>
      </c>
      <c r="L316" s="32">
        <f>IFERROR(VLOOKUP(G316,'Base Zero'!$A:$L,10,FALSE),0)</f>
        <v>100000</v>
      </c>
      <c r="M316" s="32">
        <f>+L316-N316</f>
        <v>0</v>
      </c>
      <c r="N316" s="32">
        <f>IFERROR(VLOOKUP(G316,'Base Zero'!$A:$P,16,FALSE),0)</f>
        <v>100000</v>
      </c>
      <c r="O316" s="32">
        <f>IFERROR(VLOOKUP(G316,'Base Execução'!A:M,6,FALSE),0)+IFERROR(VLOOKUP(G316,'Destaque Liberado pela CPRM'!A:F,6,FALSE),0)</f>
        <v>0</v>
      </c>
      <c r="P316" s="231">
        <f>+N316-O316</f>
        <v>100000</v>
      </c>
      <c r="Q316" s="32"/>
      <c r="R316" s="231">
        <f>IFERROR(VLOOKUP(G316,'Base Execução'!$A:$K,7,FALSE),0)</f>
        <v>0</v>
      </c>
      <c r="S316" s="231">
        <f>IFERROR(VLOOKUP(G316,'Base Execução'!$A:$K,9,FALSE),0)</f>
        <v>0</v>
      </c>
      <c r="T316" s="32">
        <f>IFERROR(VLOOKUP(G316,'Base Execução'!$A:$K,11,FALSE),0)</f>
        <v>0</v>
      </c>
      <c r="U316" s="155"/>
    </row>
    <row r="317" spans="1:33" s="11" customFormat="1" ht="24.95" customHeight="1" x14ac:dyDescent="0.2">
      <c r="A317" s="95"/>
      <c r="B317" s="424" t="s">
        <v>357</v>
      </c>
      <c r="C317" s="278"/>
      <c r="D317" s="40"/>
      <c r="E317" s="278"/>
      <c r="F317" s="279"/>
      <c r="G317" s="40"/>
      <c r="H317" s="32"/>
      <c r="I317" s="32"/>
      <c r="J317" s="32"/>
      <c r="K317" s="32"/>
      <c r="L317" s="32"/>
      <c r="M317" s="32"/>
      <c r="N317" s="32"/>
      <c r="O317" s="32"/>
      <c r="P317" s="231"/>
      <c r="Q317" s="33"/>
      <c r="R317" s="231"/>
      <c r="S317" s="231"/>
      <c r="T317" s="32"/>
      <c r="U317" s="155"/>
      <c r="V317" s="36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95"/>
      <c r="B318" s="38" t="s">
        <v>358</v>
      </c>
      <c r="C318" s="269"/>
      <c r="D318" s="36"/>
      <c r="E318" s="35"/>
      <c r="F318" s="37"/>
      <c r="G318" s="33"/>
      <c r="H318" s="22">
        <f>SUM(H319:H319)</f>
        <v>700000</v>
      </c>
      <c r="I318" s="22">
        <f>SUM(I319:I319)</f>
        <v>0</v>
      </c>
      <c r="J318" s="22">
        <f t="shared" ref="J318:P318" si="148">SUM(J319:J319)</f>
        <v>700000</v>
      </c>
      <c r="K318" s="22">
        <f t="shared" si="148"/>
        <v>0</v>
      </c>
      <c r="L318" s="22">
        <f t="shared" si="148"/>
        <v>700000</v>
      </c>
      <c r="M318" s="22">
        <f t="shared" si="148"/>
        <v>0</v>
      </c>
      <c r="N318" s="22">
        <f t="shared" si="148"/>
        <v>700000</v>
      </c>
      <c r="O318" s="22">
        <f t="shared" si="148"/>
        <v>29740.400000000001</v>
      </c>
      <c r="P318" s="229">
        <f t="shared" si="148"/>
        <v>670259.6</v>
      </c>
      <c r="Q318" s="33"/>
      <c r="R318" s="229">
        <f>SUM(R319:R319)</f>
        <v>8770.7999999999993</v>
      </c>
      <c r="S318" s="229">
        <f>SUM(S319:S319)</f>
        <v>8770.7999999999993</v>
      </c>
      <c r="T318" s="22">
        <f>SUM(T319:T319)</f>
        <v>8770.7999999999993</v>
      </c>
      <c r="U318" s="154">
        <f>+IFERROR((R318/N318),0%)</f>
        <v>1.2529714285714285E-2</v>
      </c>
    </row>
    <row r="319" spans="1:33" ht="15" customHeight="1" x14ac:dyDescent="0.2">
      <c r="A319" s="95"/>
      <c r="B319" s="314" t="s">
        <v>26</v>
      </c>
      <c r="C319" s="269" t="s">
        <v>24</v>
      </c>
      <c r="D319" s="39">
        <v>204817</v>
      </c>
      <c r="E319" s="269">
        <v>3</v>
      </c>
      <c r="F319" s="313">
        <v>181</v>
      </c>
      <c r="G319" s="40" t="str">
        <f>CONCATENATE(D319,"-",E319,"-",F319)</f>
        <v>204817-3-181</v>
      </c>
      <c r="H319" s="32">
        <f>IFERROR(VLOOKUP(G319,'Base Zero'!A:L,6,FALSE),0)</f>
        <v>700000</v>
      </c>
      <c r="I319" s="32">
        <f>IFERROR(VLOOKUP(G319,'Base Zero'!A:L,7,FALSE),0)</f>
        <v>0</v>
      </c>
      <c r="J319" s="23">
        <f>(H319+I319)</f>
        <v>700000</v>
      </c>
      <c r="K319" s="32">
        <f>(L319-J319)</f>
        <v>0</v>
      </c>
      <c r="L319" s="32">
        <f>IFERROR(VLOOKUP(G319,'Base Zero'!$A:$L,10,FALSE),0)</f>
        <v>700000</v>
      </c>
      <c r="M319" s="32">
        <f>+L319-N319</f>
        <v>0</v>
      </c>
      <c r="N319" s="32">
        <f>IFERROR(VLOOKUP(G319,'Base Zero'!$A:$P,16,FALSE),0)</f>
        <v>700000</v>
      </c>
      <c r="O319" s="32">
        <f>IFERROR(VLOOKUP(G319,'Base Execução'!A:M,6,FALSE),0)+IFERROR(VLOOKUP(G319,'Destaque Liberado pela CPRM'!A:F,6,FALSE),0)</f>
        <v>29740.400000000001</v>
      </c>
      <c r="P319" s="231">
        <f>+N319-O319</f>
        <v>670259.6</v>
      </c>
      <c r="Q319" s="32"/>
      <c r="R319" s="231">
        <f>IFERROR(VLOOKUP(G319,'Base Execução'!$A:$K,7,FALSE),0)</f>
        <v>8770.7999999999993</v>
      </c>
      <c r="S319" s="231">
        <f>IFERROR(VLOOKUP(G319,'Base Execução'!$A:$K,9,FALSE),0)</f>
        <v>8770.7999999999993</v>
      </c>
      <c r="T319" s="32">
        <f>IFERROR(VLOOKUP(G319,'Base Execução'!$A:$K,11,FALSE),0)</f>
        <v>8770.7999999999993</v>
      </c>
      <c r="U319" s="155"/>
    </row>
    <row r="320" spans="1:33" s="11" customFormat="1" ht="15" customHeight="1" x14ac:dyDescent="0.2">
      <c r="A320" s="95"/>
      <c r="B320" s="312"/>
      <c r="C320" s="48"/>
      <c r="D320" s="49"/>
      <c r="E320" s="48"/>
      <c r="F320" s="317"/>
      <c r="G320" s="49"/>
      <c r="H320" s="42"/>
      <c r="I320" s="42"/>
      <c r="J320" s="24"/>
      <c r="K320" s="42"/>
      <c r="L320" s="42"/>
      <c r="M320" s="42"/>
      <c r="N320" s="42"/>
      <c r="O320" s="42"/>
      <c r="P320" s="265"/>
      <c r="Q320" s="35"/>
      <c r="R320" s="265"/>
      <c r="S320" s="265"/>
      <c r="T320" s="42"/>
      <c r="U320" s="300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11" customFormat="1" ht="24.95" customHeight="1" x14ac:dyDescent="0.2">
      <c r="A321" s="272"/>
      <c r="B321" s="20" t="s">
        <v>282</v>
      </c>
      <c r="C321" s="269"/>
      <c r="D321" s="39"/>
      <c r="E321" s="269"/>
      <c r="F321" s="44"/>
      <c r="G321" s="269"/>
      <c r="H321" s="22">
        <f>SUM(H323:H324)</f>
        <v>10700000</v>
      </c>
      <c r="I321" s="22">
        <f t="shared" ref="I321:T321" si="149">SUM(I323:I324)</f>
        <v>0</v>
      </c>
      <c r="J321" s="22">
        <f t="shared" si="149"/>
        <v>10700000</v>
      </c>
      <c r="K321" s="22">
        <f t="shared" si="149"/>
        <v>0</v>
      </c>
      <c r="L321" s="22">
        <f t="shared" si="149"/>
        <v>10700000</v>
      </c>
      <c r="M321" s="22">
        <f t="shared" si="149"/>
        <v>0</v>
      </c>
      <c r="N321" s="22">
        <f t="shared" si="149"/>
        <v>10700000</v>
      </c>
      <c r="O321" s="22">
        <f t="shared" si="149"/>
        <v>1873882.5499999998</v>
      </c>
      <c r="P321" s="22">
        <f t="shared" si="149"/>
        <v>8826117.4499999993</v>
      </c>
      <c r="Q321" s="22">
        <f t="shared" si="149"/>
        <v>0</v>
      </c>
      <c r="R321" s="22">
        <f t="shared" si="149"/>
        <v>1712355.3</v>
      </c>
      <c r="S321" s="22">
        <f t="shared" si="149"/>
        <v>790093.77</v>
      </c>
      <c r="T321" s="22">
        <f t="shared" si="149"/>
        <v>288531.41000000003</v>
      </c>
      <c r="U321" s="156">
        <f>+IFERROR((R321/N321),0%)</f>
        <v>0.16003320560747664</v>
      </c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11" customFormat="1" ht="15" customHeight="1" x14ac:dyDescent="0.2">
      <c r="A322" s="272"/>
      <c r="B322" s="294" t="s">
        <v>327</v>
      </c>
      <c r="C322" s="269"/>
      <c r="D322" s="39"/>
      <c r="E322" s="269"/>
      <c r="F322" s="44"/>
      <c r="G322" s="269"/>
      <c r="H322" s="31"/>
      <c r="I322" s="31"/>
      <c r="J322" s="31"/>
      <c r="K322" s="31"/>
      <c r="L322" s="31"/>
      <c r="M322" s="31"/>
      <c r="N322" s="31"/>
      <c r="O322" s="31"/>
      <c r="P322" s="232"/>
      <c r="Q322" s="35"/>
      <c r="R322" s="232"/>
      <c r="S322" s="232"/>
      <c r="T322" s="31"/>
      <c r="U322" s="298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1" customFormat="1" ht="15" customHeight="1" x14ac:dyDescent="0.2">
      <c r="A323" s="272"/>
      <c r="B323" s="34" t="s">
        <v>23</v>
      </c>
      <c r="C323" s="269" t="s">
        <v>24</v>
      </c>
      <c r="D323" s="39"/>
      <c r="E323" s="269">
        <v>3</v>
      </c>
      <c r="F323" s="44">
        <v>142</v>
      </c>
      <c r="G323" s="39"/>
      <c r="H323" s="31">
        <f>H328+H332+H336+H339+H342+H345</f>
        <v>8700000</v>
      </c>
      <c r="I323" s="31">
        <f t="shared" ref="I323:T323" si="150">I328+I332+I336+I339+I342+I345</f>
        <v>0</v>
      </c>
      <c r="J323" s="31">
        <f t="shared" si="150"/>
        <v>8700000</v>
      </c>
      <c r="K323" s="31">
        <f t="shared" si="150"/>
        <v>0</v>
      </c>
      <c r="L323" s="31">
        <f t="shared" si="150"/>
        <v>8700000</v>
      </c>
      <c r="M323" s="31">
        <f t="shared" si="150"/>
        <v>0</v>
      </c>
      <c r="N323" s="31">
        <f t="shared" si="150"/>
        <v>8700000</v>
      </c>
      <c r="O323" s="31">
        <f t="shared" si="150"/>
        <v>1325853.5499999998</v>
      </c>
      <c r="P323" s="31">
        <f t="shared" si="150"/>
        <v>7374146.4499999993</v>
      </c>
      <c r="Q323" s="31">
        <f t="shared" si="150"/>
        <v>0</v>
      </c>
      <c r="R323" s="31">
        <f t="shared" si="150"/>
        <v>1164326.3</v>
      </c>
      <c r="S323" s="31">
        <f t="shared" si="150"/>
        <v>790093.77</v>
      </c>
      <c r="T323" s="31">
        <f t="shared" si="150"/>
        <v>288531.41000000003</v>
      </c>
      <c r="U323" s="298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11" customFormat="1" ht="15" customHeight="1" x14ac:dyDescent="0.2">
      <c r="A324" s="272"/>
      <c r="B324" s="34" t="s">
        <v>26</v>
      </c>
      <c r="C324" s="269" t="s">
        <v>27</v>
      </c>
      <c r="D324" s="39"/>
      <c r="E324" s="269">
        <v>4</v>
      </c>
      <c r="F324" s="44">
        <v>142</v>
      </c>
      <c r="G324" s="39"/>
      <c r="H324" s="31">
        <f>H329+H333</f>
        <v>2000000</v>
      </c>
      <c r="I324" s="31">
        <f t="shared" ref="I324:T324" si="151">I329+I333</f>
        <v>0</v>
      </c>
      <c r="J324" s="31">
        <f t="shared" si="151"/>
        <v>2000000</v>
      </c>
      <c r="K324" s="31">
        <f t="shared" si="151"/>
        <v>0</v>
      </c>
      <c r="L324" s="31">
        <f t="shared" si="151"/>
        <v>2000000</v>
      </c>
      <c r="M324" s="31">
        <f t="shared" si="151"/>
        <v>0</v>
      </c>
      <c r="N324" s="31">
        <f t="shared" si="151"/>
        <v>2000000</v>
      </c>
      <c r="O324" s="31">
        <f t="shared" si="151"/>
        <v>548029</v>
      </c>
      <c r="P324" s="31">
        <f t="shared" si="151"/>
        <v>1451971</v>
      </c>
      <c r="Q324" s="31">
        <f>Q329</f>
        <v>0</v>
      </c>
      <c r="R324" s="31">
        <f t="shared" si="151"/>
        <v>548029</v>
      </c>
      <c r="S324" s="31">
        <f t="shared" si="151"/>
        <v>0</v>
      </c>
      <c r="T324" s="31">
        <f t="shared" si="151"/>
        <v>0</v>
      </c>
      <c r="U324" s="298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11" customFormat="1" ht="15" customHeight="1" x14ac:dyDescent="0.2">
      <c r="A325" s="272"/>
      <c r="B325" s="302"/>
      <c r="C325" s="269"/>
      <c r="D325" s="39"/>
      <c r="E325" s="269"/>
      <c r="F325" s="44"/>
      <c r="G325" s="269"/>
      <c r="H325" s="31"/>
      <c r="I325" s="31"/>
      <c r="J325" s="28"/>
      <c r="K325" s="31"/>
      <c r="L325" s="31"/>
      <c r="M325" s="31"/>
      <c r="N325" s="31"/>
      <c r="O325" s="31"/>
      <c r="P325" s="232"/>
      <c r="Q325" s="35"/>
      <c r="R325" s="232"/>
      <c r="S325" s="232"/>
      <c r="T325" s="31"/>
      <c r="U325" s="298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272"/>
      <c r="B326" s="424" t="s">
        <v>283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221</v>
      </c>
      <c r="C327" s="308"/>
      <c r="D327" s="307"/>
      <c r="E327" s="308"/>
      <c r="F327" s="303"/>
      <c r="G327" s="39"/>
      <c r="H327" s="30">
        <f t="shared" ref="H327:T327" si="152">SUM(H328:H329)</f>
        <v>3190000</v>
      </c>
      <c r="I327" s="30">
        <f t="shared" si="152"/>
        <v>0</v>
      </c>
      <c r="J327" s="30">
        <f t="shared" si="152"/>
        <v>3190000</v>
      </c>
      <c r="K327" s="30">
        <f t="shared" si="152"/>
        <v>0</v>
      </c>
      <c r="L327" s="30">
        <f t="shared" si="152"/>
        <v>3190000</v>
      </c>
      <c r="M327" s="30">
        <f t="shared" si="152"/>
        <v>0</v>
      </c>
      <c r="N327" s="30">
        <f t="shared" si="152"/>
        <v>3190000</v>
      </c>
      <c r="O327" s="30">
        <f t="shared" si="152"/>
        <v>910002.38</v>
      </c>
      <c r="P327" s="30">
        <f t="shared" si="152"/>
        <v>2279997.62</v>
      </c>
      <c r="Q327" s="30">
        <f t="shared" si="152"/>
        <v>0</v>
      </c>
      <c r="R327" s="30">
        <f t="shared" si="152"/>
        <v>853327.56</v>
      </c>
      <c r="S327" s="30">
        <f t="shared" si="152"/>
        <v>494732.45</v>
      </c>
      <c r="T327" s="30">
        <f t="shared" si="152"/>
        <v>51438.74</v>
      </c>
      <c r="U327" s="154">
        <f>+IFERROR((R327/N327),0%)</f>
        <v>0.26750080250783703</v>
      </c>
    </row>
    <row r="328" spans="1:33" ht="15" customHeight="1" x14ac:dyDescent="0.2">
      <c r="A328" s="272"/>
      <c r="B328" s="34" t="s">
        <v>26</v>
      </c>
      <c r="C328" s="308" t="s">
        <v>24</v>
      </c>
      <c r="D328" s="281">
        <v>174242</v>
      </c>
      <c r="E328" s="308">
        <v>3</v>
      </c>
      <c r="F328" s="220">
        <v>142</v>
      </c>
      <c r="G328" s="39" t="str">
        <f>CONCATENATE(D328,"-",E328,"-",F328)</f>
        <v>174242-3-142</v>
      </c>
      <c r="H328" s="31">
        <f>IFERROR(VLOOKUP(G328,'Base Zero'!A:L,6,FALSE),0)</f>
        <v>1490000</v>
      </c>
      <c r="I328" s="31">
        <f>IFERROR(VLOOKUP(G328,'Base Zero'!A:L,7,FALSE),0)</f>
        <v>0</v>
      </c>
      <c r="J328" s="28">
        <f>(H328+I328)</f>
        <v>1490000</v>
      </c>
      <c r="K328" s="31">
        <f>(L328-J328)</f>
        <v>0</v>
      </c>
      <c r="L328" s="31">
        <f>IFERROR(VLOOKUP(G328,'Base Zero'!$A:$L,10,FALSE),0)</f>
        <v>1490000</v>
      </c>
      <c r="M328" s="31">
        <f>+L328-N328</f>
        <v>0</v>
      </c>
      <c r="N328" s="32">
        <f>IFERROR(VLOOKUP(G328,'Base Zero'!$A:$P,16,FALSE),0)</f>
        <v>1490000</v>
      </c>
      <c r="O328" s="32">
        <f>IFERROR(VLOOKUP(G328,'Base Execução'!A:M,6,FALSE),0)+IFERROR(VLOOKUP(G328,'Destaque Liberado pela CPRM'!A:F,6,FALSE),0)</f>
        <v>650193.38</v>
      </c>
      <c r="P328" s="232">
        <f>+N328-O328</f>
        <v>839806.62</v>
      </c>
      <c r="Q328" s="35"/>
      <c r="R328" s="231">
        <f>IFERROR(VLOOKUP(G328,'Base Execução'!$A:$K,7,FALSE),0)</f>
        <v>593518.56000000006</v>
      </c>
      <c r="S328" s="231">
        <f>IFERROR(VLOOKUP(G328,'Base Execução'!$A:$K,9,FALSE),0)</f>
        <v>494732.45</v>
      </c>
      <c r="T328" s="32">
        <f>IFERROR(VLOOKUP(G328,'Base Execução'!$A:$K,11,FALSE),0)</f>
        <v>51438.74</v>
      </c>
      <c r="U328" s="298"/>
    </row>
    <row r="329" spans="1:33" ht="15" customHeight="1" x14ac:dyDescent="0.2">
      <c r="A329" s="272"/>
      <c r="B329" s="34" t="s">
        <v>26</v>
      </c>
      <c r="C329" s="269" t="s">
        <v>27</v>
      </c>
      <c r="D329" s="281">
        <v>174242</v>
      </c>
      <c r="E329" s="269">
        <v>4</v>
      </c>
      <c r="F329" s="44">
        <v>142</v>
      </c>
      <c r="G329" s="39" t="str">
        <f>CONCATENATE(D329,"-",E329,"-",F329)</f>
        <v>174242-4-142</v>
      </c>
      <c r="H329" s="31">
        <f>IFERROR(VLOOKUP(G329,'Base Zero'!A:L,6,FALSE),0)</f>
        <v>1700000</v>
      </c>
      <c r="I329" s="31">
        <f>IFERROR(VLOOKUP(G329,'Base Zero'!A:L,7,FALSE),0)</f>
        <v>0</v>
      </c>
      <c r="J329" s="28">
        <f>(H329+I329)</f>
        <v>1700000</v>
      </c>
      <c r="K329" s="31">
        <f>(L329-J329)</f>
        <v>0</v>
      </c>
      <c r="L329" s="31">
        <f>IFERROR(VLOOKUP(G329,'Base Zero'!$A:$L,10,FALSE),0)</f>
        <v>1700000</v>
      </c>
      <c r="M329" s="31">
        <f>+L329-N329</f>
        <v>0</v>
      </c>
      <c r="N329" s="32">
        <f>IFERROR(VLOOKUP(G329,'Base Zero'!$A:$P,16,FALSE),0)</f>
        <v>1700000</v>
      </c>
      <c r="O329" s="32">
        <f>IFERROR(VLOOKUP(G329,'Base Execução'!A:M,6,FALSE),0)+IFERROR(VLOOKUP(G329,'Destaque Liberado pela CPRM'!A:F,6,FALSE),0)</f>
        <v>259809</v>
      </c>
      <c r="P329" s="232">
        <f>+N329-O329</f>
        <v>1440191</v>
      </c>
      <c r="Q329" s="35"/>
      <c r="R329" s="231">
        <f>IFERROR(VLOOKUP(G329,'Base Execução'!$A:$K,7,FALSE),0)</f>
        <v>259809</v>
      </c>
      <c r="S329" s="231">
        <f>IFERROR(VLOOKUP(G329,'Base Execução'!$A:$K,9,FALSE),0)</f>
        <v>0</v>
      </c>
      <c r="T329" s="32">
        <f>IFERROR(VLOOKUP(G329,'Base Execução'!$A:$K,11,FALSE),0)</f>
        <v>0</v>
      </c>
      <c r="U329" s="298"/>
    </row>
    <row r="330" spans="1:33" s="11" customFormat="1" ht="15" customHeight="1" x14ac:dyDescent="0.2">
      <c r="A330" s="272"/>
      <c r="B330" s="424" t="s">
        <v>284</v>
      </c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38" t="s">
        <v>223</v>
      </c>
      <c r="C331" s="269"/>
      <c r="D331" s="39"/>
      <c r="E331" s="269"/>
      <c r="F331" s="303"/>
      <c r="G331" s="35"/>
      <c r="H331" s="22">
        <f>SUM(H332:H333)</f>
        <v>1200000</v>
      </c>
      <c r="I331" s="22">
        <f t="shared" ref="I331:P331" si="153">SUM(I332:I333)</f>
        <v>0</v>
      </c>
      <c r="J331" s="22">
        <f t="shared" si="153"/>
        <v>1200000</v>
      </c>
      <c r="K331" s="22">
        <f t="shared" si="153"/>
        <v>0</v>
      </c>
      <c r="L331" s="22">
        <f t="shared" si="153"/>
        <v>1200000</v>
      </c>
      <c r="M331" s="22">
        <f t="shared" si="153"/>
        <v>0</v>
      </c>
      <c r="N331" s="22">
        <f t="shared" si="153"/>
        <v>1200000</v>
      </c>
      <c r="O331" s="22">
        <f t="shared" si="153"/>
        <v>351452.81</v>
      </c>
      <c r="P331" s="22">
        <f t="shared" si="153"/>
        <v>848547.19</v>
      </c>
      <c r="Q331" s="22">
        <f>SUM(Q332:Q332)</f>
        <v>0</v>
      </c>
      <c r="R331" s="22">
        <f>SUM(R332:R333)</f>
        <v>343449.47</v>
      </c>
      <c r="S331" s="22">
        <f>SUM(S332:S333)</f>
        <v>37946.54</v>
      </c>
      <c r="T331" s="22">
        <f>SUM(T332:T333)</f>
        <v>25538.05</v>
      </c>
      <c r="U331" s="154">
        <f>+IFERROR((R331/N331),0%)</f>
        <v>0.28620789166666666</v>
      </c>
    </row>
    <row r="332" spans="1:33" ht="15" customHeight="1" x14ac:dyDescent="0.2">
      <c r="A332" s="272"/>
      <c r="B332" s="34" t="s">
        <v>26</v>
      </c>
      <c r="C332" s="269" t="s">
        <v>24</v>
      </c>
      <c r="D332" s="281">
        <v>174249</v>
      </c>
      <c r="E332" s="269">
        <v>3</v>
      </c>
      <c r="F332" s="44">
        <v>142</v>
      </c>
      <c r="G332" s="39" t="str">
        <f>CONCATENATE(D332,"-",E332,"-",F332)</f>
        <v>174249-3-142</v>
      </c>
      <c r="H332" s="31">
        <f>IFERROR(VLOOKUP(G332,'Base Zero'!A:L,6,FALSE),0)</f>
        <v>900000</v>
      </c>
      <c r="I332" s="31">
        <f>IFERROR(VLOOKUP(G332,'Base Zero'!A:L,7,FALSE),0)</f>
        <v>0</v>
      </c>
      <c r="J332" s="28">
        <f>(H332+I332)</f>
        <v>900000</v>
      </c>
      <c r="K332" s="31">
        <f>(L332-J332)</f>
        <v>0</v>
      </c>
      <c r="L332" s="31">
        <f>IFERROR(VLOOKUP(G332,'Base Zero'!$A:$L,10,FALSE),0)</f>
        <v>900000</v>
      </c>
      <c r="M332" s="31">
        <f>+L332-N332</f>
        <v>0</v>
      </c>
      <c r="N332" s="32">
        <f>IFERROR(VLOOKUP(G332,'Base Zero'!$A:$P,16,FALSE),0)</f>
        <v>900000</v>
      </c>
      <c r="O332" s="32">
        <f>IFERROR(VLOOKUP(G332,'Base Execução'!A:M,6,FALSE),0)+IFERROR(VLOOKUP(G332,'Destaque Liberado pela CPRM'!A:F,6,FALSE),0)</f>
        <v>63232.81</v>
      </c>
      <c r="P332" s="232">
        <f>+N332-O332</f>
        <v>836767.19</v>
      </c>
      <c r="Q332" s="31"/>
      <c r="R332" s="231">
        <f>IFERROR(VLOOKUP(G332,'Base Execução'!$A:$K,7,FALSE),0)</f>
        <v>55229.47</v>
      </c>
      <c r="S332" s="231">
        <f>IFERROR(VLOOKUP(G332,'Base Execução'!$A:$K,9,FALSE),0)</f>
        <v>37946.54</v>
      </c>
      <c r="T332" s="32">
        <f>IFERROR(VLOOKUP(G332,'Base Execução'!$A:$K,11,FALSE),0)</f>
        <v>25538.05</v>
      </c>
      <c r="U332" s="298"/>
    </row>
    <row r="333" spans="1:33" ht="15" customHeight="1" x14ac:dyDescent="0.2">
      <c r="A333" s="272"/>
      <c r="B333" s="34" t="s">
        <v>26</v>
      </c>
      <c r="C333" s="269" t="s">
        <v>27</v>
      </c>
      <c r="D333" s="281">
        <v>174249</v>
      </c>
      <c r="E333" s="269">
        <v>4</v>
      </c>
      <c r="F333" s="44">
        <v>142</v>
      </c>
      <c r="G333" s="39" t="str">
        <f>CONCATENATE(D333,"-",E333,"-",F333)</f>
        <v>174249-4-142</v>
      </c>
      <c r="H333" s="31">
        <f>IFERROR(VLOOKUP(G333,'Base Zero'!A:L,6,FALSE),0)</f>
        <v>300000</v>
      </c>
      <c r="I333" s="31">
        <f>IFERROR(VLOOKUP(G333,'Base Zero'!A:L,7,FALSE),0)</f>
        <v>0</v>
      </c>
      <c r="J333" s="28">
        <f>(H333+I333)</f>
        <v>300000</v>
      </c>
      <c r="K333" s="31">
        <f>(L333-J333)</f>
        <v>0</v>
      </c>
      <c r="L333" s="31">
        <f>IFERROR(VLOOKUP(G333,'Base Zero'!$A:$L,10,FALSE),0)</f>
        <v>300000</v>
      </c>
      <c r="M333" s="31">
        <f>+L333-N333</f>
        <v>0</v>
      </c>
      <c r="N333" s="32">
        <f>IFERROR(VLOOKUP(G333,'Base Zero'!$A:$P,16,FALSE),0)</f>
        <v>300000</v>
      </c>
      <c r="O333" s="32">
        <f>IFERROR(VLOOKUP(G333,'Base Execução'!A:M,6,FALSE),0)+IFERROR(VLOOKUP(G333,'Destaque Liberado pela CPRM'!A:F,6,FALSE),0)</f>
        <v>288220</v>
      </c>
      <c r="P333" s="232">
        <f>+N333-O333</f>
        <v>11780</v>
      </c>
      <c r="Q333" s="31"/>
      <c r="R333" s="231">
        <f>IFERROR(VLOOKUP(G333,'Base Execução'!$A:$K,7,FALSE),0)</f>
        <v>288220</v>
      </c>
      <c r="S333" s="231">
        <f>IFERROR(VLOOKUP(G333,'Base Execução'!$A:$K,9,FALSE),0)</f>
        <v>0</v>
      </c>
      <c r="T333" s="32">
        <f>IFERROR(VLOOKUP(G333,'Base Execução'!$A:$K,11,FALSE),0)</f>
        <v>0</v>
      </c>
      <c r="U333" s="298"/>
    </row>
    <row r="334" spans="1:33" ht="24.95" customHeight="1" x14ac:dyDescent="0.2">
      <c r="A334" s="272"/>
      <c r="B334" s="424" t="s">
        <v>285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1"/>
      <c r="R334" s="232"/>
      <c r="S334" s="232"/>
      <c r="T334" s="31"/>
      <c r="U334" s="298"/>
    </row>
    <row r="335" spans="1:33" ht="15" customHeight="1" x14ac:dyDescent="0.2">
      <c r="A335" s="272"/>
      <c r="B335" s="38" t="s">
        <v>222</v>
      </c>
      <c r="C335" s="269"/>
      <c r="D335" s="304"/>
      <c r="E335" s="305"/>
      <c r="F335" s="306"/>
      <c r="G335" s="39"/>
      <c r="H335" s="22">
        <f t="shared" ref="H335:T335" si="154">SUM(H336:H336)</f>
        <v>980000</v>
      </c>
      <c r="I335" s="22">
        <f t="shared" si="154"/>
        <v>0</v>
      </c>
      <c r="J335" s="22">
        <f t="shared" si="154"/>
        <v>980000</v>
      </c>
      <c r="K335" s="22">
        <f t="shared" si="154"/>
        <v>0</v>
      </c>
      <c r="L335" s="22">
        <f t="shared" si="154"/>
        <v>980000</v>
      </c>
      <c r="M335" s="22">
        <f t="shared" si="154"/>
        <v>0</v>
      </c>
      <c r="N335" s="22">
        <f t="shared" si="154"/>
        <v>980000</v>
      </c>
      <c r="O335" s="22">
        <f t="shared" si="154"/>
        <v>149710.64000000001</v>
      </c>
      <c r="P335" s="229">
        <f t="shared" si="154"/>
        <v>830289.36</v>
      </c>
      <c r="Q335" s="22">
        <f t="shared" si="154"/>
        <v>0</v>
      </c>
      <c r="R335" s="22">
        <f t="shared" si="154"/>
        <v>123830.92</v>
      </c>
      <c r="S335" s="22">
        <f t="shared" si="154"/>
        <v>107250.11</v>
      </c>
      <c r="T335" s="22">
        <f t="shared" si="154"/>
        <v>99292.76</v>
      </c>
      <c r="U335" s="154">
        <f>+IFERROR((R335/N335),0%)</f>
        <v>0.12635808163265305</v>
      </c>
    </row>
    <row r="336" spans="1:33" ht="15" customHeight="1" x14ac:dyDescent="0.2">
      <c r="A336" s="272"/>
      <c r="B336" s="34" t="s">
        <v>26</v>
      </c>
      <c r="C336" s="269" t="s">
        <v>24</v>
      </c>
      <c r="D336" s="281">
        <v>174254</v>
      </c>
      <c r="E336" s="269">
        <v>3</v>
      </c>
      <c r="F336" s="44">
        <v>142</v>
      </c>
      <c r="G336" s="39" t="str">
        <f>CONCATENATE(D336,"-",E336,"-",F336)</f>
        <v>174254-3-142</v>
      </c>
      <c r="H336" s="31">
        <f>IFERROR(VLOOKUP(G336,'Base Zero'!A:L,6,FALSE),0)</f>
        <v>980000</v>
      </c>
      <c r="I336" s="31">
        <f>IFERROR(VLOOKUP(G336,'Base Zero'!A:L,7,FALSE),0)</f>
        <v>0</v>
      </c>
      <c r="J336" s="28">
        <f>(H336+I336)</f>
        <v>980000</v>
      </c>
      <c r="K336" s="31">
        <f>(L336-J336)</f>
        <v>0</v>
      </c>
      <c r="L336" s="31">
        <f>IFERROR(VLOOKUP(G336,'Base Zero'!$A:$L,10,FALSE),0)</f>
        <v>980000</v>
      </c>
      <c r="M336" s="31">
        <f>+L336-N336</f>
        <v>0</v>
      </c>
      <c r="N336" s="32">
        <f>IFERROR(VLOOKUP(G336,'Base Zero'!$A:$P,16,FALSE),0)</f>
        <v>980000</v>
      </c>
      <c r="O336" s="32">
        <f>IFERROR(VLOOKUP(G336,'Base Execução'!A:M,6,FALSE),0)+IFERROR(VLOOKUP(G336,'Destaque Liberado pela CPRM'!A:F,6,FALSE),0)</f>
        <v>149710.64000000001</v>
      </c>
      <c r="P336" s="232">
        <f>+N336-O336</f>
        <v>830289.36</v>
      </c>
      <c r="Q336" s="35"/>
      <c r="R336" s="231">
        <f>IFERROR(VLOOKUP(G336,'Base Execução'!$A:$K,7,FALSE),0)</f>
        <v>123830.92</v>
      </c>
      <c r="S336" s="231">
        <f>IFERROR(VLOOKUP(G336,'Base Execução'!$A:$K,9,FALSE),0)</f>
        <v>107250.11</v>
      </c>
      <c r="T336" s="32">
        <f>IFERROR(VLOOKUP(G336,'Base Execução'!$A:$K,11,FALSE),0)</f>
        <v>99292.76</v>
      </c>
      <c r="U336" s="298"/>
    </row>
    <row r="337" spans="1:33" ht="15" customHeight="1" x14ac:dyDescent="0.2">
      <c r="A337" s="272"/>
      <c r="B337" s="424" t="s">
        <v>286</v>
      </c>
      <c r="C337" s="269"/>
      <c r="D337" s="281"/>
      <c r="E337" s="269"/>
      <c r="F337" s="44"/>
      <c r="G337" s="3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</row>
    <row r="338" spans="1:33" ht="15" customHeight="1" x14ac:dyDescent="0.2">
      <c r="A338" s="272"/>
      <c r="B338" s="38" t="s">
        <v>133</v>
      </c>
      <c r="C338" s="269"/>
      <c r="D338" s="36"/>
      <c r="E338" s="269"/>
      <c r="F338" s="303"/>
      <c r="G338" s="39"/>
      <c r="H338" s="22">
        <f t="shared" ref="H338:T338" si="155">SUM(H339:H339)</f>
        <v>1685000</v>
      </c>
      <c r="I338" s="22">
        <f t="shared" si="155"/>
        <v>0</v>
      </c>
      <c r="J338" s="22">
        <f t="shared" si="155"/>
        <v>1685000</v>
      </c>
      <c r="K338" s="22">
        <f t="shared" si="155"/>
        <v>0</v>
      </c>
      <c r="L338" s="22">
        <f t="shared" si="155"/>
        <v>1685000</v>
      </c>
      <c r="M338" s="22">
        <f t="shared" si="155"/>
        <v>0</v>
      </c>
      <c r="N338" s="22">
        <f t="shared" si="155"/>
        <v>1685000</v>
      </c>
      <c r="O338" s="22">
        <f t="shared" si="155"/>
        <v>182592.09</v>
      </c>
      <c r="P338" s="229">
        <f t="shared" si="155"/>
        <v>1502407.91</v>
      </c>
      <c r="Q338" s="22">
        <f t="shared" si="155"/>
        <v>0</v>
      </c>
      <c r="R338" s="22">
        <f t="shared" si="155"/>
        <v>174606.57</v>
      </c>
      <c r="S338" s="22">
        <f t="shared" si="155"/>
        <v>99989.05</v>
      </c>
      <c r="T338" s="22">
        <f t="shared" si="155"/>
        <v>78645.460000000006</v>
      </c>
      <c r="U338" s="154">
        <f>+IFERROR((R338/N338),0%)</f>
        <v>0.10362407715133531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174260</v>
      </c>
      <c r="E339" s="269">
        <v>3</v>
      </c>
      <c r="F339" s="44">
        <v>142</v>
      </c>
      <c r="G339" s="39" t="str">
        <f>CONCATENATE(D339,"-",E339,"-",F339)</f>
        <v>174260-3-142</v>
      </c>
      <c r="H339" s="31">
        <f>IFERROR(VLOOKUP(G339,'Base Zero'!A:L,6,FALSE),0)</f>
        <v>1685000</v>
      </c>
      <c r="I339" s="31">
        <f>IFERROR(VLOOKUP(G339,'Base Zero'!A:L,7,FALSE),0)</f>
        <v>0</v>
      </c>
      <c r="J339" s="28">
        <f>(H339+I339)</f>
        <v>1685000</v>
      </c>
      <c r="K339" s="31">
        <f>(L339-J339)</f>
        <v>0</v>
      </c>
      <c r="L339" s="31">
        <f>IFERROR(VLOOKUP(G339,'Base Zero'!$A:$L,10,FALSE),0)</f>
        <v>1685000</v>
      </c>
      <c r="M339" s="31">
        <f>+L339-N339</f>
        <v>0</v>
      </c>
      <c r="N339" s="32">
        <f>IFERROR(VLOOKUP(G339,'Base Zero'!$A:$P,16,FALSE),0)</f>
        <v>1685000</v>
      </c>
      <c r="O339" s="32">
        <f>IFERROR(VLOOKUP(G339,'Base Execução'!A:M,6,FALSE),0)+IFERROR(VLOOKUP(G339,'Destaque Liberado pela CPRM'!A:F,6,FALSE),0)</f>
        <v>182592.09</v>
      </c>
      <c r="P339" s="232">
        <f>+N339-O339</f>
        <v>1502407.91</v>
      </c>
      <c r="Q339" s="35"/>
      <c r="R339" s="231">
        <f>IFERROR(VLOOKUP(G339,'Base Execução'!$A:$K,7,FALSE),0)</f>
        <v>174606.57</v>
      </c>
      <c r="S339" s="231">
        <f>IFERROR(VLOOKUP(G339,'Base Execução'!$A:$K,9,FALSE),0)</f>
        <v>99989.05</v>
      </c>
      <c r="T339" s="32">
        <f>IFERROR(VLOOKUP(G339,'Base Execução'!$A:$K,11,FALSE),0)</f>
        <v>78645.460000000006</v>
      </c>
      <c r="U339" s="298"/>
    </row>
    <row r="340" spans="1:33" ht="15" customHeight="1" x14ac:dyDescent="0.2">
      <c r="A340" s="272"/>
      <c r="B340" s="424" t="s">
        <v>163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5"/>
      <c r="R340" s="232"/>
      <c r="S340" s="232"/>
      <c r="T340" s="31"/>
      <c r="U340" s="298"/>
    </row>
    <row r="341" spans="1:33" ht="15" customHeight="1" x14ac:dyDescent="0.2">
      <c r="A341" s="272"/>
      <c r="B341" s="38" t="s">
        <v>165</v>
      </c>
      <c r="C341" s="269"/>
      <c r="D341" s="36"/>
      <c r="E341" s="269"/>
      <c r="F341" s="303"/>
      <c r="G341" s="39"/>
      <c r="H341" s="22">
        <f t="shared" ref="H341:T341" si="156">SUM(H342:H342)</f>
        <v>695000</v>
      </c>
      <c r="I341" s="22">
        <f t="shared" si="156"/>
        <v>0</v>
      </c>
      <c r="J341" s="22">
        <f t="shared" si="156"/>
        <v>695000</v>
      </c>
      <c r="K341" s="22">
        <f t="shared" si="156"/>
        <v>0</v>
      </c>
      <c r="L341" s="22">
        <f t="shared" si="156"/>
        <v>695000</v>
      </c>
      <c r="M341" s="22">
        <f t="shared" si="156"/>
        <v>0</v>
      </c>
      <c r="N341" s="22">
        <f t="shared" si="156"/>
        <v>695000</v>
      </c>
      <c r="O341" s="22">
        <f t="shared" si="156"/>
        <v>108516.73</v>
      </c>
      <c r="P341" s="229">
        <f t="shared" si="156"/>
        <v>586483.27</v>
      </c>
      <c r="Q341" s="22">
        <f t="shared" si="156"/>
        <v>0</v>
      </c>
      <c r="R341" s="22">
        <f t="shared" si="156"/>
        <v>49121.23</v>
      </c>
      <c r="S341" s="22">
        <f t="shared" si="156"/>
        <v>46191.23</v>
      </c>
      <c r="T341" s="22">
        <f t="shared" si="156"/>
        <v>31848.25</v>
      </c>
      <c r="U341" s="154">
        <f>+IFERROR((R341/N341),0%)</f>
        <v>7.0678028776978416E-2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174265</v>
      </c>
      <c r="E342" s="269">
        <v>3</v>
      </c>
      <c r="F342" s="44">
        <v>142</v>
      </c>
      <c r="G342" s="39" t="str">
        <f>CONCATENATE(D342,"-",E342,"-",F342)</f>
        <v>174265-3-142</v>
      </c>
      <c r="H342" s="31">
        <f>IFERROR(VLOOKUP(G342,'Base Zero'!A:L,6,FALSE),0)</f>
        <v>695000</v>
      </c>
      <c r="I342" s="31">
        <f>IFERROR(VLOOKUP(G342,'Base Zero'!A:L,7,FALSE),0)</f>
        <v>0</v>
      </c>
      <c r="J342" s="28">
        <f>(H342+I342)</f>
        <v>695000</v>
      </c>
      <c r="K342" s="31">
        <f>(L342-J342)</f>
        <v>0</v>
      </c>
      <c r="L342" s="31">
        <f>IFERROR(VLOOKUP(G342,'Base Zero'!$A:$L,10,FALSE),0)</f>
        <v>695000</v>
      </c>
      <c r="M342" s="31">
        <f>(+L342-N342)</f>
        <v>0</v>
      </c>
      <c r="N342" s="32">
        <f>IFERROR(VLOOKUP(G342,'Base Zero'!$A:$P,16,FALSE),0)</f>
        <v>695000</v>
      </c>
      <c r="O342" s="32">
        <f>IFERROR(VLOOKUP(G342,'Base Execução'!A:M,6,FALSE),0)+IFERROR(VLOOKUP(G342,'Destaque Liberado pela CPRM'!A:F,6,FALSE),0)</f>
        <v>108516.73</v>
      </c>
      <c r="P342" s="232">
        <f>+N342-O342</f>
        <v>586483.27</v>
      </c>
      <c r="Q342" s="35"/>
      <c r="R342" s="231">
        <f>IFERROR(VLOOKUP(G342,'Base Execução'!$A:$K,7,FALSE),0)</f>
        <v>49121.23</v>
      </c>
      <c r="S342" s="231">
        <f>IFERROR(VLOOKUP(G342,'Base Execução'!$A:$K,9,FALSE),0)</f>
        <v>46191.23</v>
      </c>
      <c r="T342" s="32">
        <f>IFERROR(VLOOKUP(G342,'Base Execução'!$A:$K,11,FALSE),0)</f>
        <v>31848.25</v>
      </c>
      <c r="U342" s="298"/>
    </row>
    <row r="343" spans="1:33" ht="15" customHeight="1" x14ac:dyDescent="0.2">
      <c r="A343" s="272"/>
      <c r="B343" s="424" t="s">
        <v>287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164</v>
      </c>
      <c r="C344" s="269"/>
      <c r="D344" s="36"/>
      <c r="E344" s="269"/>
      <c r="F344" s="303"/>
      <c r="G344" s="39"/>
      <c r="H344" s="22">
        <f t="shared" ref="H344:T344" si="157">SUM(H345:H345)</f>
        <v>2950000</v>
      </c>
      <c r="I344" s="22">
        <f t="shared" si="157"/>
        <v>0</v>
      </c>
      <c r="J344" s="22">
        <f t="shared" si="157"/>
        <v>2950000</v>
      </c>
      <c r="K344" s="22">
        <f t="shared" si="157"/>
        <v>0</v>
      </c>
      <c r="L344" s="22">
        <f t="shared" si="157"/>
        <v>2950000</v>
      </c>
      <c r="M344" s="22">
        <f t="shared" si="157"/>
        <v>0</v>
      </c>
      <c r="N344" s="22">
        <f t="shared" si="157"/>
        <v>2950000</v>
      </c>
      <c r="O344" s="22">
        <f t="shared" si="157"/>
        <v>171607.9</v>
      </c>
      <c r="P344" s="229">
        <f t="shared" si="157"/>
        <v>2778392.1</v>
      </c>
      <c r="Q344" s="22">
        <f t="shared" si="157"/>
        <v>0</v>
      </c>
      <c r="R344" s="22">
        <f t="shared" si="157"/>
        <v>168019.55</v>
      </c>
      <c r="S344" s="22">
        <f t="shared" si="157"/>
        <v>3984.39</v>
      </c>
      <c r="T344" s="22">
        <f t="shared" si="157"/>
        <v>1768.15</v>
      </c>
      <c r="U344" s="154">
        <f>+IFERROR((R344/N344),0%)</f>
        <v>5.6955779661016948E-2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174270</v>
      </c>
      <c r="E345" s="269">
        <v>3</v>
      </c>
      <c r="F345" s="44">
        <v>142</v>
      </c>
      <c r="G345" s="39" t="str">
        <f>CONCATENATE(D345,"-",E345,"-",F345)</f>
        <v>174270-3-142</v>
      </c>
      <c r="H345" s="31">
        <f>IFERROR(VLOOKUP(G345,'Base Zero'!A:L,6,FALSE),0)</f>
        <v>2950000</v>
      </c>
      <c r="I345" s="31">
        <f>IFERROR(VLOOKUP(G345,'Base Zero'!A:L,7,FALSE),0)</f>
        <v>0</v>
      </c>
      <c r="J345" s="28">
        <f>(H345+I345)</f>
        <v>2950000</v>
      </c>
      <c r="K345" s="31">
        <f>(L345-J345)</f>
        <v>0</v>
      </c>
      <c r="L345" s="31">
        <f>IFERROR(VLOOKUP(G345,'Base Zero'!$A:$L,10,FALSE),0)</f>
        <v>2950000</v>
      </c>
      <c r="M345" s="31">
        <f>(+L345-N345)</f>
        <v>0</v>
      </c>
      <c r="N345" s="32">
        <f>IFERROR(VLOOKUP(G345,'Base Zero'!$A:$P,16,FALSE),0)</f>
        <v>2950000</v>
      </c>
      <c r="O345" s="32">
        <f>IFERROR(VLOOKUP(G345,'Base Execução'!A:M,6,FALSE),0)+IFERROR(VLOOKUP(G345,'Destaque Liberado pela CPRM'!A:F,6,FALSE),0)</f>
        <v>171607.9</v>
      </c>
      <c r="P345" s="232">
        <f>+N345-O345</f>
        <v>2778392.1</v>
      </c>
      <c r="Q345" s="35"/>
      <c r="R345" s="231">
        <f>IFERROR(VLOOKUP(G345,'Base Execução'!$A:$K,7,FALSE),0)</f>
        <v>168019.55</v>
      </c>
      <c r="S345" s="231">
        <f>IFERROR(VLOOKUP(G345,'Base Execução'!$A:$K,9,FALSE),0)</f>
        <v>3984.39</v>
      </c>
      <c r="T345" s="32">
        <f>IFERROR(VLOOKUP(G345,'Base Execução'!$A:$K,11,FALSE),0)</f>
        <v>1768.15</v>
      </c>
      <c r="U345" s="298"/>
    </row>
    <row r="346" spans="1:33" s="12" customFormat="1" ht="15" customHeight="1" x14ac:dyDescent="0.2">
      <c r="A346" s="272"/>
      <c r="B346" s="309"/>
      <c r="C346" s="48"/>
      <c r="D346" s="49"/>
      <c r="E346" s="48"/>
      <c r="F346" s="50"/>
      <c r="G346" s="49"/>
      <c r="H346" s="42"/>
      <c r="I346" s="42"/>
      <c r="J346" s="24"/>
      <c r="K346" s="42"/>
      <c r="L346" s="42"/>
      <c r="M346" s="42"/>
      <c r="N346" s="42"/>
      <c r="O346" s="42"/>
      <c r="P346" s="265"/>
      <c r="Q346" s="31"/>
      <c r="R346" s="265"/>
      <c r="S346" s="265"/>
      <c r="T346" s="42"/>
      <c r="U346" s="310"/>
      <c r="V346" s="365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1" customFormat="1" ht="24.95" customHeight="1" x14ac:dyDescent="0.2">
      <c r="A347" s="368"/>
      <c r="B347" s="20" t="s">
        <v>288</v>
      </c>
      <c r="C347" s="269"/>
      <c r="D347" s="39"/>
      <c r="E347" s="269"/>
      <c r="F347" s="44"/>
      <c r="G347" s="269"/>
      <c r="H347" s="22">
        <f>SUM(H349:H350)</f>
        <v>15200000</v>
      </c>
      <c r="I347" s="22">
        <f t="shared" ref="I347:T347" si="158">SUM(I349:I350)</f>
        <v>0</v>
      </c>
      <c r="J347" s="22">
        <f t="shared" si="158"/>
        <v>15200000</v>
      </c>
      <c r="K347" s="22">
        <f t="shared" si="158"/>
        <v>0</v>
      </c>
      <c r="L347" s="22">
        <f t="shared" si="158"/>
        <v>15200000</v>
      </c>
      <c r="M347" s="22">
        <f t="shared" si="158"/>
        <v>0</v>
      </c>
      <c r="N347" s="22">
        <f t="shared" si="158"/>
        <v>15200000</v>
      </c>
      <c r="O347" s="22">
        <f t="shared" si="158"/>
        <v>1468728.16</v>
      </c>
      <c r="P347" s="22">
        <f t="shared" si="158"/>
        <v>13731271.84</v>
      </c>
      <c r="Q347" s="22">
        <f t="shared" si="158"/>
        <v>0</v>
      </c>
      <c r="R347" s="22">
        <f t="shared" si="158"/>
        <v>1445174.12</v>
      </c>
      <c r="S347" s="22">
        <f t="shared" si="158"/>
        <v>612547.31000000006</v>
      </c>
      <c r="T347" s="22">
        <f t="shared" si="158"/>
        <v>525398.38</v>
      </c>
      <c r="U347" s="156">
        <f>+IFERROR((R347/N347),0%)</f>
        <v>9.5077244736842106E-2</v>
      </c>
      <c r="V347" s="36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11" customFormat="1" ht="15" customHeight="1" x14ac:dyDescent="0.2">
      <c r="A348" s="95"/>
      <c r="B348" s="277" t="s">
        <v>328</v>
      </c>
      <c r="C348" s="278"/>
      <c r="D348" s="40"/>
      <c r="E348" s="278"/>
      <c r="F348" s="279"/>
      <c r="G348" s="278"/>
      <c r="H348" s="32"/>
      <c r="I348" s="32"/>
      <c r="J348" s="32"/>
      <c r="K348" s="32"/>
      <c r="L348" s="32"/>
      <c r="M348" s="32"/>
      <c r="N348" s="32"/>
      <c r="O348" s="32"/>
      <c r="P348" s="231"/>
      <c r="Q348" s="33"/>
      <c r="R348" s="231"/>
      <c r="S348" s="231"/>
      <c r="T348" s="32"/>
      <c r="U348" s="155"/>
      <c r="V348" s="36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11" customFormat="1" ht="15" customHeight="1" x14ac:dyDescent="0.2">
      <c r="A349" s="95"/>
      <c r="B349" s="314" t="s">
        <v>23</v>
      </c>
      <c r="C349" s="278" t="s">
        <v>24</v>
      </c>
      <c r="D349" s="40"/>
      <c r="E349" s="278">
        <v>3</v>
      </c>
      <c r="F349" s="313">
        <v>142</v>
      </c>
      <c r="G349" s="40"/>
      <c r="H349" s="32">
        <f>H354+H358+H362+H366+H370</f>
        <v>11787078</v>
      </c>
      <c r="I349" s="32">
        <f t="shared" ref="I349:T349" si="159">I354+I358+I362+I366+I370</f>
        <v>0</v>
      </c>
      <c r="J349" s="32">
        <f t="shared" si="159"/>
        <v>11787078</v>
      </c>
      <c r="K349" s="32">
        <f t="shared" si="159"/>
        <v>0</v>
      </c>
      <c r="L349" s="32">
        <f t="shared" si="159"/>
        <v>11787078</v>
      </c>
      <c r="M349" s="32">
        <f t="shared" si="159"/>
        <v>0</v>
      </c>
      <c r="N349" s="32">
        <f t="shared" si="159"/>
        <v>11787078</v>
      </c>
      <c r="O349" s="32">
        <f t="shared" si="159"/>
        <v>1080120.1599999999</v>
      </c>
      <c r="P349" s="32">
        <f t="shared" si="159"/>
        <v>10706957.84</v>
      </c>
      <c r="Q349" s="32">
        <f t="shared" si="159"/>
        <v>0</v>
      </c>
      <c r="R349" s="32">
        <f t="shared" si="159"/>
        <v>1056566.1200000001</v>
      </c>
      <c r="S349" s="32">
        <f t="shared" si="159"/>
        <v>592750.31000000006</v>
      </c>
      <c r="T349" s="32">
        <f t="shared" si="159"/>
        <v>505601.38</v>
      </c>
      <c r="U349" s="295"/>
      <c r="V349" s="36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11" customFormat="1" ht="15" customHeight="1" x14ac:dyDescent="0.2">
      <c r="A350" s="95"/>
      <c r="B350" s="314" t="s">
        <v>26</v>
      </c>
      <c r="C350" s="278" t="s">
        <v>27</v>
      </c>
      <c r="D350" s="40"/>
      <c r="E350" s="278">
        <v>4</v>
      </c>
      <c r="F350" s="313">
        <v>142</v>
      </c>
      <c r="G350" s="40"/>
      <c r="H350" s="32">
        <f>H355+H359+H363+H367+H371</f>
        <v>3412922</v>
      </c>
      <c r="I350" s="32">
        <f t="shared" ref="I350:T350" si="160">I355+I359+I363+I367+I371</f>
        <v>0</v>
      </c>
      <c r="J350" s="32">
        <f t="shared" si="160"/>
        <v>3412922</v>
      </c>
      <c r="K350" s="32">
        <f t="shared" si="160"/>
        <v>0</v>
      </c>
      <c r="L350" s="32">
        <f t="shared" si="160"/>
        <v>3412922</v>
      </c>
      <c r="M350" s="32">
        <f t="shared" si="160"/>
        <v>0</v>
      </c>
      <c r="N350" s="32">
        <f t="shared" si="160"/>
        <v>3412922</v>
      </c>
      <c r="O350" s="32">
        <f t="shared" si="160"/>
        <v>388608</v>
      </c>
      <c r="P350" s="32">
        <f t="shared" si="160"/>
        <v>3024314</v>
      </c>
      <c r="Q350" s="32">
        <f t="shared" si="160"/>
        <v>0</v>
      </c>
      <c r="R350" s="32">
        <f t="shared" si="160"/>
        <v>388608</v>
      </c>
      <c r="S350" s="32">
        <f t="shared" si="160"/>
        <v>19797</v>
      </c>
      <c r="T350" s="32">
        <f t="shared" si="160"/>
        <v>19797</v>
      </c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11" customFormat="1" ht="15" customHeight="1" x14ac:dyDescent="0.2">
      <c r="A351" s="95"/>
      <c r="B351" s="314"/>
      <c r="C351" s="278"/>
      <c r="D351" s="40"/>
      <c r="E351" s="278"/>
      <c r="F351" s="279"/>
      <c r="G351" s="40"/>
      <c r="H351" s="32"/>
      <c r="I351" s="32"/>
      <c r="J351" s="32"/>
      <c r="K351" s="32"/>
      <c r="L351" s="32"/>
      <c r="M351" s="32"/>
      <c r="N351" s="32"/>
      <c r="O351" s="32"/>
      <c r="P351" s="231"/>
      <c r="Q351" s="33"/>
      <c r="R351" s="231"/>
      <c r="S351" s="231"/>
      <c r="T351" s="32"/>
      <c r="U351" s="155"/>
      <c r="V351" s="36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4.95" customHeight="1" x14ac:dyDescent="0.2">
      <c r="A352" s="272"/>
      <c r="B352" s="424" t="s">
        <v>289</v>
      </c>
      <c r="C352" s="269"/>
      <c r="D352" s="281"/>
      <c r="E352" s="269"/>
      <c r="F352" s="44"/>
      <c r="G352" s="39"/>
      <c r="H352" s="31"/>
      <c r="I352" s="31"/>
      <c r="J352" s="28"/>
      <c r="K352" s="31"/>
      <c r="L352" s="31"/>
      <c r="M352" s="31"/>
      <c r="N352" s="31"/>
      <c r="O352" s="31"/>
      <c r="P352" s="232"/>
      <c r="Q352" s="31"/>
      <c r="R352" s="232"/>
      <c r="S352" s="232"/>
      <c r="T352" s="31"/>
      <c r="U352" s="298"/>
    </row>
    <row r="353" spans="1:33" s="11" customFormat="1" ht="15" customHeight="1" x14ac:dyDescent="0.2">
      <c r="A353" s="95"/>
      <c r="B353" s="38" t="s">
        <v>147</v>
      </c>
      <c r="C353" s="269"/>
      <c r="D353" s="40"/>
      <c r="E353" s="278"/>
      <c r="F353" s="279"/>
      <c r="G353" s="40"/>
      <c r="H353" s="21">
        <f t="shared" ref="H353:T353" si="161">SUM(H354:H355)</f>
        <v>350000</v>
      </c>
      <c r="I353" s="21">
        <f t="shared" si="161"/>
        <v>0</v>
      </c>
      <c r="J353" s="21">
        <f t="shared" si="161"/>
        <v>350000</v>
      </c>
      <c r="K353" s="21">
        <f t="shared" si="161"/>
        <v>0</v>
      </c>
      <c r="L353" s="21">
        <f t="shared" si="161"/>
        <v>350000</v>
      </c>
      <c r="M353" s="21">
        <f t="shared" si="161"/>
        <v>0</v>
      </c>
      <c r="N353" s="21">
        <f t="shared" si="161"/>
        <v>350000</v>
      </c>
      <c r="O353" s="21">
        <f t="shared" si="161"/>
        <v>187785.18</v>
      </c>
      <c r="P353" s="21">
        <f t="shared" si="161"/>
        <v>162214.82</v>
      </c>
      <c r="Q353" s="21">
        <f t="shared" si="161"/>
        <v>0</v>
      </c>
      <c r="R353" s="21">
        <f t="shared" si="161"/>
        <v>175866.63</v>
      </c>
      <c r="S353" s="21">
        <f t="shared" si="161"/>
        <v>85157.9</v>
      </c>
      <c r="T353" s="21">
        <f t="shared" si="161"/>
        <v>71458.06</v>
      </c>
      <c r="U353" s="154">
        <f>+IFERROR((R353/N353),0%)</f>
        <v>0.5024760857142857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26</v>
      </c>
      <c r="C354" s="278" t="s">
        <v>24</v>
      </c>
      <c r="D354" s="40">
        <v>174233</v>
      </c>
      <c r="E354" s="278">
        <v>3</v>
      </c>
      <c r="F354" s="279">
        <v>142</v>
      </c>
      <c r="G354" s="40" t="str">
        <f>CONCATENATE(D354,"-",E354,"-",F354)</f>
        <v>174233-3-142</v>
      </c>
      <c r="H354" s="32">
        <f>IFERROR(VLOOKUP(G354,'Base Zero'!A:L,6,FALSE),0)</f>
        <v>200000</v>
      </c>
      <c r="I354" s="32">
        <f>IFERROR(VLOOKUP(G354,'Base Zero'!A:L,7,FALSE),0)</f>
        <v>0</v>
      </c>
      <c r="J354" s="23">
        <f>(H354+I354)</f>
        <v>200000</v>
      </c>
      <c r="K354" s="32">
        <f>(L354-J354)</f>
        <v>0</v>
      </c>
      <c r="L354" s="32">
        <f>IFERROR(VLOOKUP(G354,'Base Zero'!$A:$L,10,FALSE),0)</f>
        <v>200000</v>
      </c>
      <c r="M354" s="32">
        <f>+L354-N354</f>
        <v>0</v>
      </c>
      <c r="N354" s="32">
        <f>IFERROR(VLOOKUP(G354,'Base Zero'!$A:$P,16,FALSE),0)</f>
        <v>200000</v>
      </c>
      <c r="O354" s="32">
        <f>IFERROR(VLOOKUP(G354,'Base Execução'!A:M,6,FALSE),0)+IFERROR(VLOOKUP(G354,'Destaque Liberado pela CPRM'!A:F,6,FALSE),0)</f>
        <v>182588.18</v>
      </c>
      <c r="P354" s="231">
        <f>+N354-O354</f>
        <v>17411.820000000007</v>
      </c>
      <c r="Q354" s="32"/>
      <c r="R354" s="231">
        <f>IFERROR(VLOOKUP(G354,'Base Execução'!$A:$K,7,FALSE),0)</f>
        <v>170669.63</v>
      </c>
      <c r="S354" s="231">
        <f>IFERROR(VLOOKUP(G354,'Base Execução'!$A:$K,9,FALSE),0)</f>
        <v>85157.9</v>
      </c>
      <c r="T354" s="32">
        <f>IFERROR(VLOOKUP(G354,'Base Execução'!$A:$K,11,FALSE),0)</f>
        <v>71458.06</v>
      </c>
      <c r="U354" s="153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>
        <v>174233</v>
      </c>
      <c r="E355" s="278">
        <v>4</v>
      </c>
      <c r="F355" s="313">
        <v>142</v>
      </c>
      <c r="G355" s="40" t="str">
        <f>CONCATENATE(D355,"-",E355,"-",F355)</f>
        <v>174233-4-142</v>
      </c>
      <c r="H355" s="32">
        <f>IFERROR(VLOOKUP(G355,'Base Zero'!A:L,6,FALSE),0)</f>
        <v>150000</v>
      </c>
      <c r="I355" s="32">
        <f>IFERROR(VLOOKUP(G355,'Base Zero'!A:L,7,FALSE),0)</f>
        <v>0</v>
      </c>
      <c r="J355" s="23">
        <f>(H355+I355)</f>
        <v>150000</v>
      </c>
      <c r="K355" s="32">
        <f>(L355-J355)</f>
        <v>0</v>
      </c>
      <c r="L355" s="32">
        <f>IFERROR(VLOOKUP(G355,'Base Zero'!$A:$L,10,FALSE),0)</f>
        <v>150000</v>
      </c>
      <c r="M355" s="32">
        <f>+L355-N355</f>
        <v>0</v>
      </c>
      <c r="N355" s="32">
        <f>IFERROR(VLOOKUP(G355,'Base Zero'!$A:$P,16,FALSE),0)</f>
        <v>150000</v>
      </c>
      <c r="O355" s="32">
        <f>IFERROR(VLOOKUP(G355,'Base Execução'!A:M,6,FALSE),0)+IFERROR(VLOOKUP(G355,'Destaque Liberado pela CPRM'!A:F,6,FALSE),0)</f>
        <v>5197</v>
      </c>
      <c r="P355" s="231">
        <f>+N355-O355</f>
        <v>144803</v>
      </c>
      <c r="Q355" s="32"/>
      <c r="R355" s="231">
        <f>IFERROR(VLOOKUP(G355,'Base Execução'!$A:$K,7,FALSE),0)</f>
        <v>5197</v>
      </c>
      <c r="S355" s="231">
        <f>IFERROR(VLOOKUP(G355,'Base Execução'!$A:$K,9,FALSE),0)</f>
        <v>0</v>
      </c>
      <c r="T355" s="32">
        <f>IFERROR(VLOOKUP(G355,'Base Execução'!$A:$K,11,FALSE),0)</f>
        <v>0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424" t="s">
        <v>290</v>
      </c>
      <c r="C356" s="278"/>
      <c r="D356" s="40"/>
      <c r="E356" s="278"/>
      <c r="F356" s="313"/>
      <c r="G356" s="40"/>
      <c r="H356" s="32"/>
      <c r="I356" s="32"/>
      <c r="J356" s="23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95"/>
      <c r="B357" s="38" t="s">
        <v>148</v>
      </c>
      <c r="C357" s="269"/>
      <c r="D357" s="36"/>
      <c r="E357" s="35"/>
      <c r="F357" s="37"/>
      <c r="G357" s="33"/>
      <c r="H357" s="22">
        <f t="shared" ref="H357:T357" si="162">SUM(H358:H359)</f>
        <v>6000000</v>
      </c>
      <c r="I357" s="22">
        <f t="shared" si="162"/>
        <v>0</v>
      </c>
      <c r="J357" s="22">
        <f t="shared" si="162"/>
        <v>6000000</v>
      </c>
      <c r="K357" s="22">
        <f t="shared" si="162"/>
        <v>0</v>
      </c>
      <c r="L357" s="22">
        <f t="shared" si="162"/>
        <v>6000000</v>
      </c>
      <c r="M357" s="22">
        <f t="shared" si="162"/>
        <v>0</v>
      </c>
      <c r="N357" s="22">
        <f t="shared" si="162"/>
        <v>6000000</v>
      </c>
      <c r="O357" s="22">
        <f t="shared" si="162"/>
        <v>1134786.1400000001</v>
      </c>
      <c r="P357" s="229">
        <f t="shared" si="162"/>
        <v>4865213.8599999994</v>
      </c>
      <c r="Q357" s="22">
        <f t="shared" si="162"/>
        <v>0</v>
      </c>
      <c r="R357" s="22">
        <f t="shared" si="162"/>
        <v>1133286.1400000001</v>
      </c>
      <c r="S357" s="22">
        <f t="shared" si="162"/>
        <v>410936.14</v>
      </c>
      <c r="T357" s="22">
        <f t="shared" si="162"/>
        <v>361901.99</v>
      </c>
      <c r="U357" s="154">
        <f>+IFERROR((R357/N357),0%)</f>
        <v>0.18888102333333334</v>
      </c>
    </row>
    <row r="358" spans="1:33" ht="15" customHeight="1" x14ac:dyDescent="0.2">
      <c r="A358" s="95"/>
      <c r="B358" s="314" t="s">
        <v>26</v>
      </c>
      <c r="C358" s="269" t="s">
        <v>24</v>
      </c>
      <c r="D358" s="39">
        <v>174245</v>
      </c>
      <c r="E358" s="269">
        <v>3</v>
      </c>
      <c r="F358" s="313">
        <v>142</v>
      </c>
      <c r="G358" s="40" t="str">
        <f>CONCATENATE(D358,"-",E358,"-",F358)</f>
        <v>174245-3-142</v>
      </c>
      <c r="H358" s="32">
        <f>IFERROR(VLOOKUP(G358,'Base Zero'!A:L,6,FALSE),0)</f>
        <v>3539578</v>
      </c>
      <c r="I358" s="32">
        <f>IFERROR(VLOOKUP(G358,'Base Zero'!A:L,7,FALSE),0)</f>
        <v>0</v>
      </c>
      <c r="J358" s="23">
        <f>(H358+I358)</f>
        <v>3539578</v>
      </c>
      <c r="K358" s="32">
        <f>(L358-J358)</f>
        <v>0</v>
      </c>
      <c r="L358" s="32">
        <f>IFERROR(VLOOKUP(G358,'Base Zero'!$A:$L,10,FALSE),0)</f>
        <v>3539578</v>
      </c>
      <c r="M358" s="32">
        <f>+L358-N358</f>
        <v>0</v>
      </c>
      <c r="N358" s="32">
        <f>IFERROR(VLOOKUP(G358,'Base Zero'!$A:$P,16,FALSE),0)</f>
        <v>3539578</v>
      </c>
      <c r="O358" s="32">
        <f>IFERROR(VLOOKUP(G358,'Base Execução'!A:M,6,FALSE),0)+IFERROR(VLOOKUP(G358,'Destaque Liberado pela CPRM'!A:F,6,FALSE),0)</f>
        <v>751375.14</v>
      </c>
      <c r="P358" s="231">
        <f>+N358-O358</f>
        <v>2788202.86</v>
      </c>
      <c r="Q358" s="32"/>
      <c r="R358" s="231">
        <f>IFERROR(VLOOKUP(G358,'Base Execução'!$A:$K,7,FALSE),0)</f>
        <v>749875.14</v>
      </c>
      <c r="S358" s="231">
        <f>IFERROR(VLOOKUP(G358,'Base Execução'!$A:$K,9,FALSE),0)</f>
        <v>391139.14</v>
      </c>
      <c r="T358" s="32">
        <f>IFERROR(VLOOKUP(G358,'Base Execução'!$A:$K,11,FALSE),0)</f>
        <v>342104.99</v>
      </c>
      <c r="U358" s="155"/>
    </row>
    <row r="359" spans="1:33" s="11" customFormat="1" ht="15" customHeight="1" x14ac:dyDescent="0.2">
      <c r="A359" s="95"/>
      <c r="B359" s="314" t="s">
        <v>26</v>
      </c>
      <c r="C359" s="278" t="s">
        <v>27</v>
      </c>
      <c r="D359" s="40">
        <v>174245</v>
      </c>
      <c r="E359" s="278">
        <v>4</v>
      </c>
      <c r="F359" s="313">
        <v>142</v>
      </c>
      <c r="G359" s="40" t="str">
        <f>CONCATENATE(D359,"-",E359,"-",F359)</f>
        <v>174245-4-142</v>
      </c>
      <c r="H359" s="32">
        <f>IFERROR(VLOOKUP(G359,'Base Zero'!A:L,6,FALSE),0)</f>
        <v>2460422</v>
      </c>
      <c r="I359" s="32">
        <f>IFERROR(VLOOKUP(G359,'Base Zero'!A:L,7,FALSE),0)</f>
        <v>0</v>
      </c>
      <c r="J359" s="23">
        <f>(H359+I359)</f>
        <v>2460422</v>
      </c>
      <c r="K359" s="32">
        <f>(L359-J359)</f>
        <v>0</v>
      </c>
      <c r="L359" s="32">
        <f>IFERROR(VLOOKUP(G359,'Base Zero'!$A:$L,10,FALSE),0)</f>
        <v>2460422</v>
      </c>
      <c r="M359" s="32">
        <f>+L359-N359</f>
        <v>0</v>
      </c>
      <c r="N359" s="32">
        <f>IFERROR(VLOOKUP(G359,'Base Zero'!$A:$P,16,FALSE),0)</f>
        <v>2460422</v>
      </c>
      <c r="O359" s="32">
        <f>IFERROR(VLOOKUP(G359,'Base Execução'!A:M,6,FALSE),0)+IFERROR(VLOOKUP(G359,'Destaque Liberado pela CPRM'!A:F,6,FALSE),0)</f>
        <v>383411</v>
      </c>
      <c r="P359" s="231">
        <f>+N359-O359</f>
        <v>2077011</v>
      </c>
      <c r="Q359" s="32"/>
      <c r="R359" s="231">
        <f>IFERROR(VLOOKUP(G359,'Base Execução'!$A:$K,7,FALSE),0)</f>
        <v>383411</v>
      </c>
      <c r="S359" s="231">
        <f>IFERROR(VLOOKUP(G359,'Base Execução'!$A:$K,9,FALSE),0)</f>
        <v>19797</v>
      </c>
      <c r="T359" s="32">
        <f>IFERROR(VLOOKUP(G359,'Base Execução'!$A:$K,11,FALSE),0)</f>
        <v>19797</v>
      </c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424" t="s">
        <v>170</v>
      </c>
      <c r="C360" s="278"/>
      <c r="D360" s="40"/>
      <c r="E360" s="278"/>
      <c r="F360" s="313"/>
      <c r="G360" s="40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1"/>
      <c r="S360" s="231"/>
      <c r="T360" s="32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95"/>
      <c r="B361" s="38" t="s">
        <v>146</v>
      </c>
      <c r="C361" s="269"/>
      <c r="D361" s="36"/>
      <c r="E361" s="35"/>
      <c r="F361" s="37"/>
      <c r="G361" s="33"/>
      <c r="H361" s="22">
        <f>SUM(H362:H363)</f>
        <v>4111110</v>
      </c>
      <c r="I361" s="22">
        <f t="shared" ref="I361:O361" si="163">SUM(I362:I363)</f>
        <v>0</v>
      </c>
      <c r="J361" s="22">
        <f t="shared" si="163"/>
        <v>4111110</v>
      </c>
      <c r="K361" s="22">
        <f t="shared" si="163"/>
        <v>0</v>
      </c>
      <c r="L361" s="22">
        <f t="shared" si="163"/>
        <v>4111110</v>
      </c>
      <c r="M361" s="22">
        <f t="shared" si="163"/>
        <v>0</v>
      </c>
      <c r="N361" s="22">
        <f t="shared" si="163"/>
        <v>4111110</v>
      </c>
      <c r="O361" s="22">
        <f t="shared" si="163"/>
        <v>118060.41</v>
      </c>
      <c r="P361" s="229">
        <f>SUM(P362:P363)</f>
        <v>3993049.59</v>
      </c>
      <c r="Q361" s="22">
        <f>SUM(Q362:Q363)</f>
        <v>0</v>
      </c>
      <c r="R361" s="22">
        <f>SUM(R362:R363)</f>
        <v>108120.52</v>
      </c>
      <c r="S361" s="22">
        <f>SUM(S362:S363)</f>
        <v>95400.58</v>
      </c>
      <c r="T361" s="22">
        <f>SUM(T362:T363)</f>
        <v>75819.679999999993</v>
      </c>
      <c r="U361" s="154">
        <f>+IFERROR((R361/N361),0%)</f>
        <v>2.6299593053944071E-2</v>
      </c>
    </row>
    <row r="362" spans="1:33" ht="15" customHeight="1" x14ac:dyDescent="0.2">
      <c r="A362" s="95"/>
      <c r="B362" s="314" t="s">
        <v>26</v>
      </c>
      <c r="C362" s="269" t="s">
        <v>24</v>
      </c>
      <c r="D362" s="39">
        <v>174257</v>
      </c>
      <c r="E362" s="269">
        <v>3</v>
      </c>
      <c r="F362" s="313">
        <v>142</v>
      </c>
      <c r="G362" s="40" t="str">
        <f>CONCATENATE(D362,"-",E362,"-",F362)</f>
        <v>174257-3-142</v>
      </c>
      <c r="H362" s="32">
        <f>IFERROR(VLOOKUP(G362,'Base Zero'!A:L,6,FALSE),0)</f>
        <v>3913610</v>
      </c>
      <c r="I362" s="32">
        <f>IFERROR(VLOOKUP(G362,'Base Zero'!A:L,7,FALSE),0)</f>
        <v>0</v>
      </c>
      <c r="J362" s="23">
        <f>(H362+I362)</f>
        <v>3913610</v>
      </c>
      <c r="K362" s="32">
        <f>(L362-J362)</f>
        <v>0</v>
      </c>
      <c r="L362" s="32">
        <f>IFERROR(VLOOKUP(G362,'Base Zero'!$A:$L,10,FALSE),0)</f>
        <v>3913610</v>
      </c>
      <c r="M362" s="32">
        <f>+L362-N362</f>
        <v>0</v>
      </c>
      <c r="N362" s="32">
        <f>IFERROR(VLOOKUP(G362,'Base Zero'!$A:$P,16,FALSE),0)</f>
        <v>3913610</v>
      </c>
      <c r="O362" s="32">
        <f>IFERROR(VLOOKUP(G362,'Base Execução'!A:M,6,FALSE),0)+IFERROR(VLOOKUP(G362,'Destaque Liberado pela CPRM'!A:F,6,FALSE),0)</f>
        <v>118060.41</v>
      </c>
      <c r="P362" s="231">
        <f>+N362-O362</f>
        <v>3795549.59</v>
      </c>
      <c r="Q362" s="32"/>
      <c r="R362" s="231">
        <f>IFERROR(VLOOKUP(G362,'Base Execução'!$A:$K,7,FALSE),0)</f>
        <v>108120.52</v>
      </c>
      <c r="S362" s="231">
        <f>IFERROR(VLOOKUP(G362,'Base Execução'!$A:$K,9,FALSE),0)</f>
        <v>95400.58</v>
      </c>
      <c r="T362" s="32">
        <f>IFERROR(VLOOKUP(G362,'Base Execução'!$A:$K,11,FALSE),0)</f>
        <v>75819.679999999993</v>
      </c>
      <c r="U362" s="155"/>
    </row>
    <row r="363" spans="1:33" ht="15" customHeight="1" x14ac:dyDescent="0.2">
      <c r="A363" s="95"/>
      <c r="B363" s="314" t="s">
        <v>26</v>
      </c>
      <c r="C363" s="278" t="s">
        <v>27</v>
      </c>
      <c r="D363" s="39">
        <v>174257</v>
      </c>
      <c r="E363" s="269">
        <v>4</v>
      </c>
      <c r="F363" s="313">
        <v>142</v>
      </c>
      <c r="G363" s="40" t="str">
        <f>CONCATENATE(D363,"-",E363,"-",F363)</f>
        <v>174257-4-142</v>
      </c>
      <c r="H363" s="32">
        <f>IFERROR(VLOOKUP(G363,'Base Zero'!A:L,6,FALSE),0)</f>
        <v>197500</v>
      </c>
      <c r="I363" s="32">
        <f>IFERROR(VLOOKUP(G363,'Base Zero'!A:L,7,FALSE),0)</f>
        <v>0</v>
      </c>
      <c r="J363" s="23">
        <f>(H363+I363)</f>
        <v>197500</v>
      </c>
      <c r="K363" s="32">
        <f>(L363-J363)</f>
        <v>0</v>
      </c>
      <c r="L363" s="32">
        <f>IFERROR(VLOOKUP(G363,'Base Zero'!$A:$L,10,FALSE),0)</f>
        <v>197500</v>
      </c>
      <c r="M363" s="32">
        <f>+L363-N363</f>
        <v>0</v>
      </c>
      <c r="N363" s="32">
        <f>IFERROR(VLOOKUP(G363,'Base Zero'!$A:$P,16,FALSE),0)</f>
        <v>197500</v>
      </c>
      <c r="O363" s="32">
        <f>IFERROR(VLOOKUP(G363,'Base Execução'!A:M,6,FALSE),0)+IFERROR(VLOOKUP(G363,'Destaque Liberado pela CPRM'!A:F,6,FALSE),0)</f>
        <v>0</v>
      </c>
      <c r="P363" s="231">
        <f>+N363-O363</f>
        <v>197500</v>
      </c>
      <c r="Q363" s="32"/>
      <c r="R363" s="231">
        <f>IFERROR(VLOOKUP(G363,'Base Execução'!$A:$K,7,FALSE),0)</f>
        <v>0</v>
      </c>
      <c r="S363" s="231">
        <f>IFERROR(VLOOKUP(G363,'Base Execução'!$A:$K,9,FALSE),0)</f>
        <v>0</v>
      </c>
      <c r="T363" s="32">
        <f>IFERROR(VLOOKUP(G363,'Base Execução'!$A:$K,11,FALSE),0)</f>
        <v>0</v>
      </c>
      <c r="U363" s="155"/>
    </row>
    <row r="364" spans="1:33" s="11" customFormat="1" ht="15" customHeight="1" x14ac:dyDescent="0.2">
      <c r="A364" s="95"/>
      <c r="B364" s="424" t="s">
        <v>291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169</v>
      </c>
      <c r="C365" s="269"/>
      <c r="D365" s="36"/>
      <c r="E365" s="35"/>
      <c r="F365" s="37"/>
      <c r="G365" s="33"/>
      <c r="H365" s="22">
        <f>SUM(H366:H367)</f>
        <v>2621000</v>
      </c>
      <c r="I365" s="22">
        <f t="shared" ref="I365:O365" si="164">SUM(I366:I367)</f>
        <v>0</v>
      </c>
      <c r="J365" s="22">
        <f t="shared" si="164"/>
        <v>2621000</v>
      </c>
      <c r="K365" s="22">
        <f t="shared" si="164"/>
        <v>0</v>
      </c>
      <c r="L365" s="22">
        <f t="shared" si="164"/>
        <v>2621000</v>
      </c>
      <c r="M365" s="22">
        <f t="shared" si="164"/>
        <v>0</v>
      </c>
      <c r="N365" s="22">
        <f t="shared" si="164"/>
        <v>2621000</v>
      </c>
      <c r="O365" s="22">
        <f t="shared" si="164"/>
        <v>14262.66</v>
      </c>
      <c r="P365" s="229">
        <f>SUM(P366:P367)</f>
        <v>2606737.34</v>
      </c>
      <c r="Q365" s="22">
        <f>SUM(Q366:Q367)</f>
        <v>0</v>
      </c>
      <c r="R365" s="22">
        <f>SUM(R366:R367)</f>
        <v>14167.06</v>
      </c>
      <c r="S365" s="22">
        <f>SUM(S366:S367)</f>
        <v>8319.16</v>
      </c>
      <c r="T365" s="22">
        <f>SUM(T366:T367)</f>
        <v>8210.5300000000007</v>
      </c>
      <c r="U365" s="154">
        <f>+IFERROR((R365/N365),0%)</f>
        <v>5.4052117512399843E-3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174262</v>
      </c>
      <c r="E366" s="269">
        <v>3</v>
      </c>
      <c r="F366" s="313">
        <v>142</v>
      </c>
      <c r="G366" s="40" t="str">
        <f>CONCATENATE(D366,"-",E366,"-",F366)</f>
        <v>174262-3-142</v>
      </c>
      <c r="H366" s="32">
        <f>IFERROR(VLOOKUP(G366,'Base Zero'!A:L,6,FALSE),0)</f>
        <v>2126000</v>
      </c>
      <c r="I366" s="32">
        <f>IFERROR(VLOOKUP(G366,'Base Zero'!A:L,7,FALSE),0)</f>
        <v>0</v>
      </c>
      <c r="J366" s="23">
        <f>(H366+I366)</f>
        <v>2126000</v>
      </c>
      <c r="K366" s="32">
        <f>(L366-J366)</f>
        <v>0</v>
      </c>
      <c r="L366" s="32">
        <f>IFERROR(VLOOKUP(G366,'Base Zero'!$A:$L,10,FALSE),0)</f>
        <v>2126000</v>
      </c>
      <c r="M366" s="32">
        <f>+L366-N366</f>
        <v>0</v>
      </c>
      <c r="N366" s="32">
        <f>IFERROR(VLOOKUP(G366,'Base Zero'!$A:$P,16,FALSE),0)</f>
        <v>2126000</v>
      </c>
      <c r="O366" s="32">
        <f>IFERROR(VLOOKUP(G366,'Base Execução'!A:M,6,FALSE),0)+IFERROR(VLOOKUP(G366,'Destaque Liberado pela CPRM'!A:F,6,FALSE),0)</f>
        <v>14262.66</v>
      </c>
      <c r="P366" s="231">
        <f>+N366-O366</f>
        <v>2111737.34</v>
      </c>
      <c r="Q366" s="32"/>
      <c r="R366" s="231">
        <f>IFERROR(VLOOKUP(G366,'Base Execução'!$A:$K,7,FALSE),0)</f>
        <v>14167.06</v>
      </c>
      <c r="S366" s="231">
        <f>IFERROR(VLOOKUP(G366,'Base Execução'!$A:$K,9,FALSE),0)</f>
        <v>8319.16</v>
      </c>
      <c r="T366" s="32">
        <f>IFERROR(VLOOKUP(G366,'Base Execução'!$A:$K,11,FALSE),0)</f>
        <v>8210.5300000000007</v>
      </c>
      <c r="U366" s="155"/>
    </row>
    <row r="367" spans="1:33" ht="15" customHeight="1" x14ac:dyDescent="0.2">
      <c r="A367" s="95"/>
      <c r="B367" s="314" t="s">
        <v>26</v>
      </c>
      <c r="C367" s="278" t="s">
        <v>27</v>
      </c>
      <c r="D367" s="39">
        <v>174262</v>
      </c>
      <c r="E367" s="269">
        <v>4</v>
      </c>
      <c r="F367" s="313">
        <v>142</v>
      </c>
      <c r="G367" s="40" t="str">
        <f>CONCATENATE(D367,"-",E367,"-",F367)</f>
        <v>174262-4-142</v>
      </c>
      <c r="H367" s="32">
        <f>IFERROR(VLOOKUP(G367,'Base Zero'!A:L,6,FALSE),0)</f>
        <v>495000</v>
      </c>
      <c r="I367" s="32">
        <f>IFERROR(VLOOKUP(G367,'Base Zero'!A:L,7,FALSE),0)</f>
        <v>0</v>
      </c>
      <c r="J367" s="23">
        <f>(H367+I367)</f>
        <v>495000</v>
      </c>
      <c r="K367" s="32">
        <f>(L367-J367)</f>
        <v>0</v>
      </c>
      <c r="L367" s="32">
        <f>IFERROR(VLOOKUP(G367,'Base Zero'!$A:$L,10,FALSE),0)</f>
        <v>495000</v>
      </c>
      <c r="M367" s="32">
        <f>+L367-N367</f>
        <v>0</v>
      </c>
      <c r="N367" s="32">
        <f>IFERROR(VLOOKUP(G367,'Base Zero'!$A:$P,16,FALSE),0)</f>
        <v>495000</v>
      </c>
      <c r="O367" s="32">
        <f>IFERROR(VLOOKUP(G367,'Base Execução'!A:M,6,FALSE),0)+IFERROR(VLOOKUP(G367,'Destaque Liberado pela CPRM'!A:F,6,FALSE),0)</f>
        <v>0</v>
      </c>
      <c r="P367" s="231">
        <f>+N367-O367</f>
        <v>495000</v>
      </c>
      <c r="Q367" s="32"/>
      <c r="R367" s="231">
        <f>IFERROR(VLOOKUP(G367,'Base Execução'!$A:$K,7,FALSE),0)</f>
        <v>0</v>
      </c>
      <c r="S367" s="231">
        <f>IFERROR(VLOOKUP(G367,'Base Execução'!$A:$K,9,FALSE),0)</f>
        <v>0</v>
      </c>
      <c r="T367" s="32">
        <f>IFERROR(VLOOKUP(G367,'Base Execução'!$A:$K,11,FALSE),0)</f>
        <v>0</v>
      </c>
      <c r="U367" s="155"/>
    </row>
    <row r="368" spans="1:33" s="11" customFormat="1" ht="15" customHeight="1" x14ac:dyDescent="0.2">
      <c r="A368" s="95"/>
      <c r="B368" s="424" t="s">
        <v>149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150</v>
      </c>
      <c r="C369" s="269"/>
      <c r="D369" s="36"/>
      <c r="E369" s="35"/>
      <c r="F369" s="37"/>
      <c r="G369" s="33"/>
      <c r="H369" s="22">
        <f t="shared" ref="H369:T369" si="165">SUM(H370:H371)</f>
        <v>2117890</v>
      </c>
      <c r="I369" s="22">
        <f t="shared" si="165"/>
        <v>0</v>
      </c>
      <c r="J369" s="22">
        <f t="shared" si="165"/>
        <v>2117890</v>
      </c>
      <c r="K369" s="22">
        <f t="shared" si="165"/>
        <v>0</v>
      </c>
      <c r="L369" s="22">
        <f t="shared" si="165"/>
        <v>2117890</v>
      </c>
      <c r="M369" s="22">
        <f t="shared" si="165"/>
        <v>0</v>
      </c>
      <c r="N369" s="22">
        <f t="shared" si="165"/>
        <v>2117890</v>
      </c>
      <c r="O369" s="22">
        <f t="shared" si="165"/>
        <v>13833.77</v>
      </c>
      <c r="P369" s="229">
        <f t="shared" si="165"/>
        <v>2104056.23</v>
      </c>
      <c r="Q369" s="22">
        <f t="shared" si="165"/>
        <v>0</v>
      </c>
      <c r="R369" s="22">
        <f t="shared" si="165"/>
        <v>13733.77</v>
      </c>
      <c r="S369" s="22">
        <f t="shared" si="165"/>
        <v>12733.53</v>
      </c>
      <c r="T369" s="22">
        <f t="shared" si="165"/>
        <v>8008.12</v>
      </c>
      <c r="U369" s="154">
        <f>+IFERROR((R369/N369),0%)</f>
        <v>6.4846474557224412E-3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174267</v>
      </c>
      <c r="E370" s="269">
        <v>3</v>
      </c>
      <c r="F370" s="313">
        <v>142</v>
      </c>
      <c r="G370" s="40" t="str">
        <f>CONCATENATE(D370,"-",E370,"-",F370)</f>
        <v>174267-3-142</v>
      </c>
      <c r="H370" s="32">
        <f>IFERROR(VLOOKUP(G370,'Base Zero'!A:L,6,FALSE),0)</f>
        <v>2007890</v>
      </c>
      <c r="I370" s="32">
        <f>IFERROR(VLOOKUP(G370,'Base Zero'!A:L,7,FALSE),0)</f>
        <v>0</v>
      </c>
      <c r="J370" s="23">
        <f>(H370+I370)</f>
        <v>2007890</v>
      </c>
      <c r="K370" s="32">
        <f>(L370-J370)</f>
        <v>0</v>
      </c>
      <c r="L370" s="32">
        <f>IFERROR(VLOOKUP(G370,'Base Zero'!$A:$L,10,FALSE),0)</f>
        <v>2007890</v>
      </c>
      <c r="M370" s="32">
        <f>+L370-N370</f>
        <v>0</v>
      </c>
      <c r="N370" s="32">
        <f>IFERROR(VLOOKUP(G370,'Base Zero'!$A:$P,16,FALSE),0)</f>
        <v>2007890</v>
      </c>
      <c r="O370" s="32">
        <f>IFERROR(VLOOKUP(G370,'Base Execução'!A:M,6,FALSE),0)+IFERROR(VLOOKUP(G370,'Destaque Liberado pela CPRM'!A:F,6,FALSE),0)</f>
        <v>13833.77</v>
      </c>
      <c r="P370" s="231">
        <f>+N370-O370</f>
        <v>1994056.23</v>
      </c>
      <c r="Q370" s="32"/>
      <c r="R370" s="231">
        <f>IFERROR(VLOOKUP(G370,'Base Execução'!$A:$K,7,FALSE),0)</f>
        <v>13733.77</v>
      </c>
      <c r="S370" s="231">
        <f>IFERROR(VLOOKUP(G370,'Base Execução'!$A:$K,9,FALSE),0)</f>
        <v>12733.53</v>
      </c>
      <c r="T370" s="32">
        <f>IFERROR(VLOOKUP(G370,'Base Execução'!$A:$K,11,FALSE),0)</f>
        <v>8008.12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174267</v>
      </c>
      <c r="E371" s="269">
        <v>4</v>
      </c>
      <c r="F371" s="313">
        <v>142</v>
      </c>
      <c r="G371" s="40" t="str">
        <f>CONCATENATE(D371,"-",E371,"-",F371)</f>
        <v>174267-4-142</v>
      </c>
      <c r="H371" s="32">
        <f>IFERROR(VLOOKUP(G371,'Base Zero'!A:L,6,FALSE),0)</f>
        <v>110000</v>
      </c>
      <c r="I371" s="32">
        <f>IFERROR(VLOOKUP(G371,'Base Zero'!A:L,7,FALSE),0)</f>
        <v>0</v>
      </c>
      <c r="J371" s="23">
        <f>(H371+I371)</f>
        <v>110000</v>
      </c>
      <c r="K371" s="32">
        <f>(L371-J371)</f>
        <v>0</v>
      </c>
      <c r="L371" s="32">
        <f>IFERROR(VLOOKUP(G371,'Base Zero'!$A:$L,10,FALSE),0)</f>
        <v>110000</v>
      </c>
      <c r="M371" s="32">
        <f>+L371-N371</f>
        <v>0</v>
      </c>
      <c r="N371" s="32">
        <f>IFERROR(VLOOKUP(G371,'Base Zero'!$A:$P,16,FALSE),0)</f>
        <v>110000</v>
      </c>
      <c r="O371" s="32">
        <f>IFERROR(VLOOKUP(G371,'Base Execução'!A:M,6,FALSE),0)+IFERROR(VLOOKUP(G371,'Destaque Liberado pela CPRM'!A:F,6,FALSE),0)</f>
        <v>0</v>
      </c>
      <c r="P371" s="231">
        <f>+N371-O371</f>
        <v>110000</v>
      </c>
      <c r="Q371" s="32"/>
      <c r="R371" s="231">
        <f>IFERROR(VLOOKUP(G371,'Base Execução'!$A:$K,7,FALSE),0)</f>
        <v>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</row>
    <row r="372" spans="1:33" s="11" customFormat="1" ht="15" customHeight="1" x14ac:dyDescent="0.2">
      <c r="A372" s="368"/>
      <c r="B372" s="301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292</v>
      </c>
      <c r="C373" s="278"/>
      <c r="D373" s="40"/>
      <c r="E373" s="278"/>
      <c r="F373" s="279"/>
      <c r="G373" s="278"/>
      <c r="H373" s="21">
        <f>SUM(H375:H378)</f>
        <v>8500000</v>
      </c>
      <c r="I373" s="21">
        <f t="shared" ref="I373:T373" si="166">SUM(I375:I378)</f>
        <v>0</v>
      </c>
      <c r="J373" s="21">
        <f t="shared" si="166"/>
        <v>8500000</v>
      </c>
      <c r="K373" s="21">
        <f t="shared" si="166"/>
        <v>0</v>
      </c>
      <c r="L373" s="21">
        <f t="shared" si="166"/>
        <v>8500000</v>
      </c>
      <c r="M373" s="21">
        <f t="shared" si="166"/>
        <v>0</v>
      </c>
      <c r="N373" s="21">
        <f t="shared" si="166"/>
        <v>8500000</v>
      </c>
      <c r="O373" s="21">
        <f t="shared" si="166"/>
        <v>1159748.42</v>
      </c>
      <c r="P373" s="21">
        <f t="shared" si="166"/>
        <v>7340251.5800000001</v>
      </c>
      <c r="Q373" s="22">
        <f>SUM(Q376:Q378)</f>
        <v>0</v>
      </c>
      <c r="R373" s="21">
        <f t="shared" si="166"/>
        <v>1058737.99</v>
      </c>
      <c r="S373" s="21">
        <f t="shared" si="166"/>
        <v>675772.26</v>
      </c>
      <c r="T373" s="21">
        <f t="shared" si="166"/>
        <v>408744.42000000004</v>
      </c>
      <c r="U373" s="156">
        <f>+IFERROR((R373/N373),0%)</f>
        <v>0.12455741058823529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329</v>
      </c>
      <c r="C374" s="278"/>
      <c r="D374" s="40"/>
      <c r="E374" s="278"/>
      <c r="F374" s="279"/>
      <c r="G374" s="278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2"/>
      <c r="S374" s="232"/>
      <c r="T374" s="3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>
        <v>3</v>
      </c>
      <c r="F375" s="313">
        <v>100</v>
      </c>
      <c r="G375" s="278"/>
      <c r="H375" s="32">
        <f>H382</f>
        <v>0</v>
      </c>
      <c r="I375" s="32">
        <f t="shared" ref="I375:T375" si="167">I382</f>
        <v>0</v>
      </c>
      <c r="J375" s="32">
        <f t="shared" si="167"/>
        <v>0</v>
      </c>
      <c r="K375" s="32">
        <f t="shared" si="167"/>
        <v>0</v>
      </c>
      <c r="L375" s="32">
        <f t="shared" si="167"/>
        <v>0</v>
      </c>
      <c r="M375" s="32">
        <f t="shared" si="167"/>
        <v>0</v>
      </c>
      <c r="N375" s="32">
        <f t="shared" si="167"/>
        <v>0</v>
      </c>
      <c r="O375" s="32">
        <f t="shared" si="167"/>
        <v>0</v>
      </c>
      <c r="P375" s="32">
        <f t="shared" si="167"/>
        <v>0</v>
      </c>
      <c r="Q375" s="33"/>
      <c r="R375" s="32">
        <f t="shared" si="167"/>
        <v>0</v>
      </c>
      <c r="S375" s="32">
        <f t="shared" si="167"/>
        <v>0</v>
      </c>
      <c r="T375" s="32">
        <f t="shared" si="167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24</v>
      </c>
      <c r="D376" s="40"/>
      <c r="E376" s="278">
        <v>3</v>
      </c>
      <c r="F376" s="313">
        <v>142</v>
      </c>
      <c r="G376" s="278"/>
      <c r="H376" s="32">
        <f>H383</f>
        <v>5692518</v>
      </c>
      <c r="I376" s="32">
        <f t="shared" ref="I376:T376" si="168">I383</f>
        <v>0</v>
      </c>
      <c r="J376" s="32">
        <f t="shared" si="168"/>
        <v>5692518</v>
      </c>
      <c r="K376" s="32">
        <f t="shared" si="168"/>
        <v>0</v>
      </c>
      <c r="L376" s="32">
        <f t="shared" si="168"/>
        <v>5692518</v>
      </c>
      <c r="M376" s="32">
        <f t="shared" si="168"/>
        <v>0</v>
      </c>
      <c r="N376" s="32">
        <f t="shared" si="168"/>
        <v>5692518</v>
      </c>
      <c r="O376" s="32">
        <f t="shared" si="168"/>
        <v>937788.01</v>
      </c>
      <c r="P376" s="32">
        <f t="shared" si="168"/>
        <v>4754729.99</v>
      </c>
      <c r="Q376" s="32">
        <f t="shared" si="168"/>
        <v>0</v>
      </c>
      <c r="R376" s="32">
        <f t="shared" si="168"/>
        <v>838992.8</v>
      </c>
      <c r="S376" s="32">
        <f t="shared" si="168"/>
        <v>571624.46</v>
      </c>
      <c r="T376" s="32">
        <f t="shared" si="168"/>
        <v>337820.17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32</v>
      </c>
      <c r="C377" s="278" t="s">
        <v>27</v>
      </c>
      <c r="D377" s="40"/>
      <c r="E377" s="278">
        <v>4</v>
      </c>
      <c r="F377" s="313">
        <v>142</v>
      </c>
      <c r="G377" s="278"/>
      <c r="H377" s="32">
        <f>H384</f>
        <v>1000000</v>
      </c>
      <c r="I377" s="32">
        <f t="shared" ref="I377:T377" si="169">I384</f>
        <v>0</v>
      </c>
      <c r="J377" s="32">
        <f t="shared" si="169"/>
        <v>1000000</v>
      </c>
      <c r="K377" s="32">
        <f t="shared" si="169"/>
        <v>0</v>
      </c>
      <c r="L377" s="32">
        <f t="shared" si="169"/>
        <v>1000000</v>
      </c>
      <c r="M377" s="32">
        <f t="shared" si="169"/>
        <v>0</v>
      </c>
      <c r="N377" s="32">
        <f t="shared" si="169"/>
        <v>1000000</v>
      </c>
      <c r="O377" s="32">
        <f t="shared" si="169"/>
        <v>13948.55</v>
      </c>
      <c r="P377" s="32">
        <f t="shared" si="169"/>
        <v>986051.45</v>
      </c>
      <c r="Q377" s="32">
        <f t="shared" si="169"/>
        <v>0</v>
      </c>
      <c r="R377" s="32">
        <f t="shared" si="169"/>
        <v>11971.9</v>
      </c>
      <c r="S377" s="32">
        <f t="shared" si="169"/>
        <v>491.9</v>
      </c>
      <c r="T377" s="32">
        <f t="shared" si="169"/>
        <v>491.9</v>
      </c>
      <c r="U377" s="15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39</v>
      </c>
      <c r="C378" s="278" t="s">
        <v>24</v>
      </c>
      <c r="D378" s="40"/>
      <c r="E378" s="278">
        <v>3</v>
      </c>
      <c r="F378" s="279">
        <v>150</v>
      </c>
      <c r="G378" s="278"/>
      <c r="H378" s="32">
        <f>H385</f>
        <v>1807482</v>
      </c>
      <c r="I378" s="32">
        <f t="shared" ref="I378:T378" si="170">I385</f>
        <v>0</v>
      </c>
      <c r="J378" s="32">
        <f t="shared" si="170"/>
        <v>1807482</v>
      </c>
      <c r="K378" s="32">
        <f t="shared" si="170"/>
        <v>0</v>
      </c>
      <c r="L378" s="32">
        <f t="shared" si="170"/>
        <v>1807482</v>
      </c>
      <c r="M378" s="32">
        <f t="shared" si="170"/>
        <v>0</v>
      </c>
      <c r="N378" s="32">
        <f t="shared" si="170"/>
        <v>1807482</v>
      </c>
      <c r="O378" s="32">
        <f t="shared" si="170"/>
        <v>208011.86</v>
      </c>
      <c r="P378" s="32">
        <f t="shared" si="170"/>
        <v>1599470.1400000001</v>
      </c>
      <c r="Q378" s="32">
        <f t="shared" si="170"/>
        <v>0</v>
      </c>
      <c r="R378" s="32">
        <f t="shared" si="170"/>
        <v>207773.29</v>
      </c>
      <c r="S378" s="32">
        <f t="shared" si="170"/>
        <v>103655.9</v>
      </c>
      <c r="T378" s="32">
        <f t="shared" si="170"/>
        <v>70432.350000000006</v>
      </c>
      <c r="U378" s="15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293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8" t="s">
        <v>197</v>
      </c>
      <c r="C381" s="278"/>
      <c r="D381" s="40"/>
      <c r="E381" s="278"/>
      <c r="F381" s="279"/>
      <c r="G381" s="278"/>
      <c r="H381" s="22">
        <f>SUM(H382:H385)</f>
        <v>8500000</v>
      </c>
      <c r="I381" s="22">
        <f t="shared" ref="I381:P381" si="171">SUM(I382:I385)</f>
        <v>0</v>
      </c>
      <c r="J381" s="22">
        <f t="shared" si="171"/>
        <v>8500000</v>
      </c>
      <c r="K381" s="22">
        <f t="shared" si="171"/>
        <v>0</v>
      </c>
      <c r="L381" s="22">
        <f t="shared" si="171"/>
        <v>8500000</v>
      </c>
      <c r="M381" s="22">
        <f t="shared" si="171"/>
        <v>0</v>
      </c>
      <c r="N381" s="22">
        <f t="shared" si="171"/>
        <v>8500000</v>
      </c>
      <c r="O381" s="22">
        <f t="shared" si="171"/>
        <v>1159748.42</v>
      </c>
      <c r="P381" s="22">
        <f t="shared" si="171"/>
        <v>7340251.5800000001</v>
      </c>
      <c r="Q381" s="22">
        <f>SUM(Q383:Q385)</f>
        <v>0</v>
      </c>
      <c r="R381" s="22">
        <f>SUM(R382:R385)</f>
        <v>1058737.99</v>
      </c>
      <c r="S381" s="22">
        <f>SUM(S382:S385)</f>
        <v>675772.26</v>
      </c>
      <c r="T381" s="22">
        <f>SUM(T382:T385)</f>
        <v>408744.42000000004</v>
      </c>
      <c r="U381" s="154">
        <f>+IFERROR((R381/N381),0%)</f>
        <v>0.12455741058823529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174239</v>
      </c>
      <c r="E382" s="278">
        <v>3</v>
      </c>
      <c r="F382" s="313">
        <v>100</v>
      </c>
      <c r="G382" s="40" t="str">
        <f>CONCATENATE(D382,"-",E382,"-",F382)</f>
        <v>174239-3-100</v>
      </c>
      <c r="H382" s="32">
        <f>IFERROR(VLOOKUP(G382,'Base Zero'!A:L,6,FALSE),0)</f>
        <v>0</v>
      </c>
      <c r="I382" s="32">
        <f>IFERROR(VLOOKUP(G382,'Base Zero'!A:L,7,FALSE),0)</f>
        <v>0</v>
      </c>
      <c r="J382" s="23">
        <f>(H382+I382)</f>
        <v>0</v>
      </c>
      <c r="K382" s="32">
        <f>(L382-J382)</f>
        <v>0</v>
      </c>
      <c r="L382" s="32">
        <f>IFERROR(VLOOKUP(G382,'Base Zero'!$A:$L,10,FALSE),0)</f>
        <v>0</v>
      </c>
      <c r="M382" s="32">
        <f>+L382-N382</f>
        <v>0</v>
      </c>
      <c r="N382" s="32">
        <f>IFERROR(VLOOKUP(G382,'Base Zero'!$A:$P,16,FALSE),0)</f>
        <v>0</v>
      </c>
      <c r="O382" s="32">
        <f>IFERROR(VLOOKUP(G382,'Base Execução'!A:M,6,FALSE),0)+IFERROR(VLOOKUP(G382,'Destaque Liberado pela CPRM'!A:F,6,FALSE),0)</f>
        <v>0</v>
      </c>
      <c r="P382" s="231">
        <f>+N382-O382</f>
        <v>0</v>
      </c>
      <c r="Q382" s="2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4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>
        <v>174239</v>
      </c>
      <c r="E383" s="278">
        <v>3</v>
      </c>
      <c r="F383" s="313">
        <v>142</v>
      </c>
      <c r="G383" s="40" t="str">
        <f>CONCATENATE(D383,"-",E383,"-",F383)</f>
        <v>174239-3-142</v>
      </c>
      <c r="H383" s="32">
        <f>IFERROR(VLOOKUP(G383,'Base Zero'!A:L,6,FALSE),0)</f>
        <v>5692518</v>
      </c>
      <c r="I383" s="32">
        <f>IFERROR(VLOOKUP(G383,'Base Zero'!A:L,7,FALSE),0)</f>
        <v>0</v>
      </c>
      <c r="J383" s="23">
        <f>(H383+I383)</f>
        <v>5692518</v>
      </c>
      <c r="K383" s="32">
        <f>(L383-J383)</f>
        <v>0</v>
      </c>
      <c r="L383" s="32">
        <f>IFERROR(VLOOKUP(G383,'Base Zero'!$A:$L,10,FALSE),0)</f>
        <v>5692518</v>
      </c>
      <c r="M383" s="32">
        <f>+L383-N383</f>
        <v>0</v>
      </c>
      <c r="N383" s="32">
        <f>IFERROR(VLOOKUP(G383,'Base Zero'!$A:$P,16,FALSE),0)</f>
        <v>5692518</v>
      </c>
      <c r="O383" s="32">
        <f>IFERROR(VLOOKUP(G383,'Base Execução'!A:M,6,FALSE),0)+IFERROR(VLOOKUP(G383,'Destaque Liberado pela CPRM'!A:F,6,FALSE),0)</f>
        <v>937788.01</v>
      </c>
      <c r="P383" s="231">
        <f>+N383-O383</f>
        <v>4754729.99</v>
      </c>
      <c r="Q383" s="32"/>
      <c r="R383" s="231">
        <f>IFERROR(VLOOKUP(G383,'Base Execução'!$A:$K,7,FALSE),0)</f>
        <v>838992.8</v>
      </c>
      <c r="S383" s="231">
        <f>IFERROR(VLOOKUP(G383,'Base Execução'!$A:$K,9,FALSE),0)</f>
        <v>571624.46</v>
      </c>
      <c r="T383" s="32">
        <f>IFERROR(VLOOKUP(G383,'Base Execução'!$A:$K,11,FALSE),0)</f>
        <v>337820.17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>
        <v>174239</v>
      </c>
      <c r="E384" s="278">
        <v>4</v>
      </c>
      <c r="F384" s="313">
        <v>142</v>
      </c>
      <c r="G384" s="40" t="str">
        <f>CONCATENATE(D384,"-",E384,"-",F384)</f>
        <v>174239-4-142</v>
      </c>
      <c r="H384" s="32">
        <f>IFERROR(VLOOKUP(G384,'Base Zero'!A:L,6,FALSE),0)</f>
        <v>1000000</v>
      </c>
      <c r="I384" s="32">
        <f>IFERROR(VLOOKUP(G384,'Base Zero'!A:L,7,FALSE),0)</f>
        <v>0</v>
      </c>
      <c r="J384" s="23">
        <f>(H384+I384)</f>
        <v>1000000</v>
      </c>
      <c r="K384" s="32">
        <f>(L384-J384)</f>
        <v>0</v>
      </c>
      <c r="L384" s="32">
        <f>IFERROR(VLOOKUP(G384,'Base Zero'!$A:$L,10,FALSE),0)</f>
        <v>1000000</v>
      </c>
      <c r="M384" s="32">
        <f>+L384-N384</f>
        <v>0</v>
      </c>
      <c r="N384" s="32">
        <f>IFERROR(VLOOKUP(G384,'Base Zero'!$A:$P,16,FALSE),0)</f>
        <v>1000000</v>
      </c>
      <c r="O384" s="32">
        <f>IFERROR(VLOOKUP(G384,'Base Execução'!A:M,6,FALSE),0)+IFERROR(VLOOKUP(G384,'Destaque Liberado pela CPRM'!A:F,6,FALSE),0)</f>
        <v>13948.55</v>
      </c>
      <c r="P384" s="231">
        <f>+N384-O384</f>
        <v>986051.45</v>
      </c>
      <c r="Q384" s="33"/>
      <c r="R384" s="231">
        <f>IFERROR(VLOOKUP(G384,'Base Execução'!$A:$K,7,FALSE),0)</f>
        <v>11971.9</v>
      </c>
      <c r="S384" s="231">
        <f>IFERROR(VLOOKUP(G384,'Base Execução'!$A:$K,9,FALSE),0)</f>
        <v>491.9</v>
      </c>
      <c r="T384" s="32">
        <f>IFERROR(VLOOKUP(G384,'Base Execução'!$A:$K,11,FALSE),0)</f>
        <v>491.9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>
        <v>174239</v>
      </c>
      <c r="E385" s="278">
        <v>3</v>
      </c>
      <c r="F385" s="279">
        <v>150</v>
      </c>
      <c r="G385" s="40" t="str">
        <f>CONCATENATE(D385,"-",E385,"-",F385)</f>
        <v>174239-3-150</v>
      </c>
      <c r="H385" s="32">
        <f>IFERROR(VLOOKUP(G385,'Base Zero'!A:L,6,FALSE),0)</f>
        <v>1807482</v>
      </c>
      <c r="I385" s="32">
        <f>IFERROR(VLOOKUP(G385,'Base Zero'!A:L,7,FALSE),0)</f>
        <v>0</v>
      </c>
      <c r="J385" s="23">
        <f>(H385+I385)</f>
        <v>1807482</v>
      </c>
      <c r="K385" s="32">
        <f>(L385-J385)</f>
        <v>0</v>
      </c>
      <c r="L385" s="32">
        <f>IFERROR(VLOOKUP(G385,'Base Zero'!$A:$L,10,FALSE),0)</f>
        <v>1807482</v>
      </c>
      <c r="M385" s="32">
        <f>+L385-N385</f>
        <v>0</v>
      </c>
      <c r="N385" s="32">
        <f>IFERROR(VLOOKUP(G385,'Base Zero'!$A:$P,16,FALSE),0)</f>
        <v>1807482</v>
      </c>
      <c r="O385" s="32">
        <f>IFERROR(VLOOKUP(G385,'Base Execução'!A:M,6,FALSE),0)+IFERROR(VLOOKUP(G385,'Destaque Liberado pela CPRM'!A:F,6,FALSE),0)</f>
        <v>208011.86</v>
      </c>
      <c r="P385" s="231">
        <f>+N385-O385</f>
        <v>1599470.1400000001</v>
      </c>
      <c r="Q385" s="33"/>
      <c r="R385" s="231">
        <f>IFERROR(VLOOKUP(G385,'Base Execução'!$A:$K,7,FALSE),0)</f>
        <v>207773.29</v>
      </c>
      <c r="S385" s="231">
        <f>IFERROR(VLOOKUP(G385,'Base Execução'!$A:$K,9,FALSE),0)</f>
        <v>103655.9</v>
      </c>
      <c r="T385" s="32">
        <f>IFERROR(VLOOKUP(G385,'Base Execução'!$A:$K,11,FALSE),0)</f>
        <v>70432.350000000006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368"/>
      <c r="B386" s="299"/>
      <c r="C386" s="48"/>
      <c r="D386" s="49"/>
      <c r="E386" s="48"/>
      <c r="F386" s="50"/>
      <c r="G386" s="48"/>
      <c r="H386" s="42"/>
      <c r="I386" s="42"/>
      <c r="J386" s="24"/>
      <c r="K386" s="42"/>
      <c r="L386" s="42"/>
      <c r="M386" s="42"/>
      <c r="N386" s="42"/>
      <c r="O386" s="42"/>
      <c r="P386" s="265"/>
      <c r="Q386" s="35"/>
      <c r="R386" s="265"/>
      <c r="S386" s="265"/>
      <c r="T386" s="42"/>
      <c r="U386" s="300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24.95" customHeight="1" x14ac:dyDescent="0.2">
      <c r="A387" s="95"/>
      <c r="B387" s="41" t="s">
        <v>294</v>
      </c>
      <c r="C387" s="278"/>
      <c r="D387" s="40"/>
      <c r="E387" s="278"/>
      <c r="F387" s="279"/>
      <c r="G387" s="278"/>
      <c r="H387" s="21">
        <f>SUM(H389:H392)</f>
        <v>1000000</v>
      </c>
      <c r="I387" s="21">
        <f t="shared" ref="I387:T387" si="172">SUM(I389:I392)</f>
        <v>0</v>
      </c>
      <c r="J387" s="21">
        <f t="shared" si="172"/>
        <v>1000000</v>
      </c>
      <c r="K387" s="21">
        <f t="shared" si="172"/>
        <v>0</v>
      </c>
      <c r="L387" s="21">
        <f t="shared" si="172"/>
        <v>1000000</v>
      </c>
      <c r="M387" s="21">
        <f t="shared" si="172"/>
        <v>0</v>
      </c>
      <c r="N387" s="21">
        <f t="shared" si="172"/>
        <v>1000000</v>
      </c>
      <c r="O387" s="21">
        <f t="shared" si="172"/>
        <v>50745.26</v>
      </c>
      <c r="P387" s="21">
        <f t="shared" si="172"/>
        <v>949254.74</v>
      </c>
      <c r="Q387" s="22">
        <f>SUM(Q391:Q392)</f>
        <v>0</v>
      </c>
      <c r="R387" s="21">
        <f t="shared" si="172"/>
        <v>45761.82</v>
      </c>
      <c r="S387" s="21">
        <f t="shared" si="172"/>
        <v>29931.989999999998</v>
      </c>
      <c r="T387" s="21">
        <f t="shared" si="172"/>
        <v>26733.62</v>
      </c>
      <c r="U387" s="156">
        <f>+IFERROR((R387/N387),0%)</f>
        <v>4.5761820000000002E-2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277" t="s">
        <v>330</v>
      </c>
      <c r="C388" s="278"/>
      <c r="D388" s="40"/>
      <c r="E388" s="278"/>
      <c r="F388" s="279"/>
      <c r="G388" s="278"/>
      <c r="H388" s="21"/>
      <c r="I388" s="21"/>
      <c r="J388" s="21"/>
      <c r="K388" s="21"/>
      <c r="L388" s="21"/>
      <c r="M388" s="21"/>
      <c r="N388" s="21"/>
      <c r="O388" s="21"/>
      <c r="P388" s="228"/>
      <c r="Q388" s="33"/>
      <c r="R388" s="228"/>
      <c r="S388" s="228"/>
      <c r="T388" s="2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/>
      <c r="E389" s="278"/>
      <c r="F389" s="313">
        <v>100</v>
      </c>
      <c r="G389" s="278"/>
      <c r="H389" s="32">
        <f>H399</f>
        <v>0</v>
      </c>
      <c r="I389" s="32">
        <f t="shared" ref="I389:T389" si="173">I399</f>
        <v>0</v>
      </c>
      <c r="J389" s="32">
        <f t="shared" si="173"/>
        <v>0</v>
      </c>
      <c r="K389" s="32">
        <f t="shared" si="173"/>
        <v>0</v>
      </c>
      <c r="L389" s="32">
        <f t="shared" si="173"/>
        <v>0</v>
      </c>
      <c r="M389" s="32">
        <f t="shared" si="173"/>
        <v>0</v>
      </c>
      <c r="N389" s="32">
        <f t="shared" si="173"/>
        <v>0</v>
      </c>
      <c r="O389" s="32">
        <f t="shared" si="173"/>
        <v>0</v>
      </c>
      <c r="P389" s="32">
        <f t="shared" si="173"/>
        <v>0</v>
      </c>
      <c r="Q389" s="33"/>
      <c r="R389" s="32">
        <f t="shared" si="173"/>
        <v>0</v>
      </c>
      <c r="S389" s="32">
        <f t="shared" si="173"/>
        <v>0</v>
      </c>
      <c r="T389" s="32">
        <f t="shared" si="173"/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27</v>
      </c>
      <c r="D390" s="40"/>
      <c r="E390" s="278"/>
      <c r="F390" s="313">
        <v>100</v>
      </c>
      <c r="G390" s="278"/>
      <c r="H390" s="32">
        <f>H400</f>
        <v>0</v>
      </c>
      <c r="I390" s="32">
        <f t="shared" ref="I390:T390" si="174">I400</f>
        <v>0</v>
      </c>
      <c r="J390" s="32">
        <f t="shared" si="174"/>
        <v>0</v>
      </c>
      <c r="K390" s="32">
        <f t="shared" si="174"/>
        <v>0</v>
      </c>
      <c r="L390" s="32">
        <f t="shared" si="174"/>
        <v>0</v>
      </c>
      <c r="M390" s="32">
        <f t="shared" si="174"/>
        <v>0</v>
      </c>
      <c r="N390" s="32">
        <f t="shared" si="174"/>
        <v>0</v>
      </c>
      <c r="O390" s="32">
        <f t="shared" si="174"/>
        <v>0</v>
      </c>
      <c r="P390" s="32">
        <f t="shared" si="174"/>
        <v>0</v>
      </c>
      <c r="Q390" s="33"/>
      <c r="R390" s="32">
        <f t="shared" si="174"/>
        <v>0</v>
      </c>
      <c r="S390" s="32">
        <f t="shared" si="174"/>
        <v>0</v>
      </c>
      <c r="T390" s="32">
        <f t="shared" si="174"/>
        <v>0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/>
      <c r="E391" s="278"/>
      <c r="F391" s="313">
        <v>142</v>
      </c>
      <c r="G391" s="40"/>
      <c r="H391" s="32">
        <f t="shared" ref="H391:T391" si="175">H396+H403+H406+H409</f>
        <v>975000</v>
      </c>
      <c r="I391" s="32">
        <f t="shared" si="175"/>
        <v>0</v>
      </c>
      <c r="J391" s="32">
        <f t="shared" si="175"/>
        <v>975000</v>
      </c>
      <c r="K391" s="32">
        <f t="shared" si="175"/>
        <v>0</v>
      </c>
      <c r="L391" s="32">
        <f t="shared" si="175"/>
        <v>975000</v>
      </c>
      <c r="M391" s="32">
        <f t="shared" si="175"/>
        <v>0</v>
      </c>
      <c r="N391" s="32">
        <f t="shared" si="175"/>
        <v>975000</v>
      </c>
      <c r="O391" s="32">
        <f t="shared" si="175"/>
        <v>50745.26</v>
      </c>
      <c r="P391" s="32">
        <f t="shared" si="175"/>
        <v>924254.74</v>
      </c>
      <c r="Q391" s="32">
        <f t="shared" si="175"/>
        <v>0</v>
      </c>
      <c r="R391" s="32">
        <f t="shared" si="175"/>
        <v>45761.82</v>
      </c>
      <c r="S391" s="32">
        <f t="shared" si="175"/>
        <v>29931.989999999998</v>
      </c>
      <c r="T391" s="32">
        <f t="shared" si="175"/>
        <v>26733.62</v>
      </c>
      <c r="U391" s="29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26</v>
      </c>
      <c r="C392" s="278" t="s">
        <v>27</v>
      </c>
      <c r="D392" s="40"/>
      <c r="E392" s="278"/>
      <c r="F392" s="313">
        <v>142</v>
      </c>
      <c r="G392" s="40"/>
      <c r="H392" s="32">
        <f>H397</f>
        <v>25000</v>
      </c>
      <c r="I392" s="32">
        <f t="shared" ref="I392:T392" si="176">I397</f>
        <v>0</v>
      </c>
      <c r="J392" s="32">
        <f t="shared" si="176"/>
        <v>25000</v>
      </c>
      <c r="K392" s="32">
        <f t="shared" si="176"/>
        <v>0</v>
      </c>
      <c r="L392" s="32">
        <f t="shared" si="176"/>
        <v>25000</v>
      </c>
      <c r="M392" s="32">
        <f t="shared" si="176"/>
        <v>0</v>
      </c>
      <c r="N392" s="32">
        <f t="shared" si="176"/>
        <v>25000</v>
      </c>
      <c r="O392" s="32">
        <f t="shared" si="176"/>
        <v>0</v>
      </c>
      <c r="P392" s="32">
        <f t="shared" si="176"/>
        <v>25000</v>
      </c>
      <c r="Q392" s="32">
        <f t="shared" si="176"/>
        <v>0</v>
      </c>
      <c r="R392" s="32">
        <f t="shared" si="176"/>
        <v>0</v>
      </c>
      <c r="S392" s="32">
        <f t="shared" si="176"/>
        <v>0</v>
      </c>
      <c r="T392" s="32">
        <f t="shared" si="176"/>
        <v>0</v>
      </c>
      <c r="U392" s="31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/>
      <c r="C393" s="278"/>
      <c r="D393" s="40"/>
      <c r="E393" s="278"/>
      <c r="F393" s="279"/>
      <c r="G393" s="40"/>
      <c r="H393" s="32"/>
      <c r="I393" s="32"/>
      <c r="J393" s="32"/>
      <c r="K393" s="32"/>
      <c r="L393" s="32"/>
      <c r="M393" s="32"/>
      <c r="N393" s="32"/>
      <c r="O393" s="32"/>
      <c r="P393" s="231"/>
      <c r="Q393" s="33"/>
      <c r="R393" s="231"/>
      <c r="S393" s="231"/>
      <c r="T393" s="32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424" t="s">
        <v>161</v>
      </c>
      <c r="C394" s="278"/>
      <c r="D394" s="40"/>
      <c r="E394" s="278"/>
      <c r="F394" s="279"/>
      <c r="G394" s="278"/>
      <c r="H394" s="32"/>
      <c r="I394" s="32"/>
      <c r="J394" s="23"/>
      <c r="K394" s="32"/>
      <c r="L394" s="32"/>
      <c r="M394" s="32"/>
      <c r="N394" s="32"/>
      <c r="O394" s="32"/>
      <c r="P394" s="231"/>
      <c r="Q394" s="33"/>
      <c r="R394" s="232"/>
      <c r="S394" s="232"/>
      <c r="T394" s="3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8" t="s">
        <v>162</v>
      </c>
      <c r="C395" s="278"/>
      <c r="D395" s="40"/>
      <c r="E395" s="278"/>
      <c r="F395" s="279"/>
      <c r="G395" s="278"/>
      <c r="H395" s="21">
        <f t="shared" ref="H395:T395" si="177">SUM(H396:H397)</f>
        <v>225000</v>
      </c>
      <c r="I395" s="21">
        <f t="shared" si="177"/>
        <v>0</v>
      </c>
      <c r="J395" s="21">
        <f t="shared" si="177"/>
        <v>225000</v>
      </c>
      <c r="K395" s="21">
        <f t="shared" si="177"/>
        <v>0</v>
      </c>
      <c r="L395" s="21">
        <f t="shared" si="177"/>
        <v>225000</v>
      </c>
      <c r="M395" s="21">
        <f t="shared" si="177"/>
        <v>0</v>
      </c>
      <c r="N395" s="21">
        <f t="shared" si="177"/>
        <v>225000</v>
      </c>
      <c r="O395" s="21">
        <f t="shared" si="177"/>
        <v>12707.45</v>
      </c>
      <c r="P395" s="228">
        <f t="shared" si="177"/>
        <v>212292.55</v>
      </c>
      <c r="Q395" s="21">
        <f t="shared" si="177"/>
        <v>0</v>
      </c>
      <c r="R395" s="21">
        <f t="shared" si="177"/>
        <v>10975.14</v>
      </c>
      <c r="S395" s="21">
        <f t="shared" si="177"/>
        <v>2686.58</v>
      </c>
      <c r="T395" s="21">
        <f t="shared" si="177"/>
        <v>857.39</v>
      </c>
      <c r="U395" s="154">
        <f>+IFERROR((R395/N395),0%)</f>
        <v>4.87784E-2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>
        <v>174236</v>
      </c>
      <c r="E396" s="278">
        <v>3</v>
      </c>
      <c r="F396" s="313">
        <v>142</v>
      </c>
      <c r="G396" s="40" t="str">
        <f>CONCATENATE(D396,"-",E396,"-",F396)</f>
        <v>174236-3-142</v>
      </c>
      <c r="H396" s="32">
        <f>IFERROR(VLOOKUP(G396,'Base Zero'!A:L,6,FALSE),0)</f>
        <v>200000</v>
      </c>
      <c r="I396" s="32">
        <f>IFERROR(VLOOKUP(G396,'Base Zero'!A:L,7,FALSE),0)</f>
        <v>0</v>
      </c>
      <c r="J396" s="23">
        <f>(H396+I396)</f>
        <v>200000</v>
      </c>
      <c r="K396" s="32">
        <f>(L396-J396)</f>
        <v>0</v>
      </c>
      <c r="L396" s="32">
        <f>IFERROR(VLOOKUP(G396,'Base Zero'!$A:$L,10,FALSE),0)</f>
        <v>200000</v>
      </c>
      <c r="M396" s="32">
        <f>+L396-N396</f>
        <v>0</v>
      </c>
      <c r="N396" s="32">
        <f>IFERROR(VLOOKUP(G396,'Base Zero'!$A:$P,16,FALSE),0)</f>
        <v>200000</v>
      </c>
      <c r="O396" s="32">
        <f>IFERROR(VLOOKUP(G396,'Base Execução'!A:M,6,FALSE),0)+IFERROR(VLOOKUP(G396,'Destaque Liberado pela CPRM'!A:F,6,FALSE),0)</f>
        <v>12707.45</v>
      </c>
      <c r="P396" s="231">
        <f>+N396-O396</f>
        <v>187292.55</v>
      </c>
      <c r="Q396" s="32"/>
      <c r="R396" s="231">
        <f>IFERROR(VLOOKUP(G396,'Base Execução'!$A:$K,7,FALSE),0)</f>
        <v>10975.14</v>
      </c>
      <c r="S396" s="231">
        <f>IFERROR(VLOOKUP(G396,'Base Execução'!$A:$K,9,FALSE),0)</f>
        <v>2686.58</v>
      </c>
      <c r="T396" s="32">
        <f>IFERROR(VLOOKUP(G396,'Base Execução'!$A:$K,11,FALSE),0)</f>
        <v>857.39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34</v>
      </c>
      <c r="C397" s="278" t="s">
        <v>27</v>
      </c>
      <c r="D397" s="40">
        <v>174236</v>
      </c>
      <c r="E397" s="278">
        <v>4</v>
      </c>
      <c r="F397" s="313">
        <v>142</v>
      </c>
      <c r="G397" s="40" t="str">
        <f>CONCATENATE(D397,"-",E397,"-",F397)</f>
        <v>174236-4-142</v>
      </c>
      <c r="H397" s="32">
        <f>IFERROR(VLOOKUP(G397,'Base Zero'!A:L,6,FALSE),0)</f>
        <v>25000</v>
      </c>
      <c r="I397" s="32">
        <f>IFERROR(VLOOKUP(G397,'Base Zero'!A:L,7,FALSE),0)</f>
        <v>0</v>
      </c>
      <c r="J397" s="23">
        <f>(H397+I397)</f>
        <v>25000</v>
      </c>
      <c r="K397" s="32">
        <f>(L397-J397)</f>
        <v>0</v>
      </c>
      <c r="L397" s="32">
        <f>IFERROR(VLOOKUP(G397,'Base Zero'!$A:$L,10,FALSE),0)</f>
        <v>25000</v>
      </c>
      <c r="M397" s="32">
        <f>+L397-N397</f>
        <v>0</v>
      </c>
      <c r="N397" s="32">
        <f>IFERROR(VLOOKUP(G397,'Base Zero'!$A:$P,16,FALSE),0)</f>
        <v>25000</v>
      </c>
      <c r="O397" s="32">
        <f>IFERROR(VLOOKUP(G397,'Base Execução'!A:M,6,FALSE),0)+IFERROR(VLOOKUP(G397,'Destaque Liberado pela CPRM'!A:F,6,FALSE),0)</f>
        <v>0</v>
      </c>
      <c r="P397" s="231">
        <f>+N397-O397</f>
        <v>25000</v>
      </c>
      <c r="Q397" s="33"/>
      <c r="R397" s="231">
        <f>IFERROR(VLOOKUP(G397,'Base Execução'!$A:$K,7,FALSE),0)</f>
        <v>0</v>
      </c>
      <c r="S397" s="231">
        <f>IFERROR(VLOOKUP(G397,'Base Execução'!$A:$K,9,FALSE),0)</f>
        <v>0</v>
      </c>
      <c r="T397" s="32">
        <f>IFERROR(VLOOKUP(G397,'Base Execução'!$A:$K,11,FALSE),0)</f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8" t="s">
        <v>307</v>
      </c>
      <c r="C398" s="278"/>
      <c r="D398" s="40"/>
      <c r="E398" s="278"/>
      <c r="F398" s="313"/>
      <c r="G398" s="40"/>
      <c r="H398" s="21">
        <f>SUM(H399:H400)</f>
        <v>0</v>
      </c>
      <c r="I398" s="21">
        <f t="shared" ref="I398:P398" si="178">SUM(I399:I400)</f>
        <v>0</v>
      </c>
      <c r="J398" s="21">
        <f t="shared" si="178"/>
        <v>0</v>
      </c>
      <c r="K398" s="21">
        <f t="shared" si="178"/>
        <v>0</v>
      </c>
      <c r="L398" s="21">
        <f t="shared" si="178"/>
        <v>0</v>
      </c>
      <c r="M398" s="21">
        <f t="shared" si="178"/>
        <v>0</v>
      </c>
      <c r="N398" s="21">
        <f t="shared" si="178"/>
        <v>0</v>
      </c>
      <c r="O398" s="21">
        <f t="shared" si="178"/>
        <v>0</v>
      </c>
      <c r="P398" s="21">
        <f t="shared" si="178"/>
        <v>0</v>
      </c>
      <c r="Q398" s="33"/>
      <c r="R398" s="21">
        <f>SUM(R399:R400)</f>
        <v>0</v>
      </c>
      <c r="S398" s="21">
        <f>SUM(S399:S400)</f>
        <v>0</v>
      </c>
      <c r="T398" s="21">
        <f>SUM(T399:T400)</f>
        <v>0</v>
      </c>
      <c r="U398" s="154">
        <f>+IFERROR((R398/N398),0%)</f>
        <v>0</v>
      </c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34</v>
      </c>
      <c r="C399" s="278" t="s">
        <v>24</v>
      </c>
      <c r="D399" s="40">
        <v>202067</v>
      </c>
      <c r="E399" s="278">
        <v>3</v>
      </c>
      <c r="F399" s="313">
        <v>100</v>
      </c>
      <c r="G399" s="40" t="str">
        <f>CONCATENATE(D399,"-",E399,"-",F399)</f>
        <v>202067-3-100</v>
      </c>
      <c r="H399" s="32">
        <f>IFERROR(VLOOKUP(G399,'Base Zero'!A:L,6,FALSE),0)</f>
        <v>0</v>
      </c>
      <c r="I399" s="32">
        <f>IFERROR(VLOOKUP(G399,'Base Zero'!A:L,7,FALSE),0)</f>
        <v>0</v>
      </c>
      <c r="J399" s="23">
        <f>(H399+I399)</f>
        <v>0</v>
      </c>
      <c r="K399" s="32">
        <f>(L399-J399)</f>
        <v>0</v>
      </c>
      <c r="L399" s="32">
        <f>IFERROR(VLOOKUP(G399,'Base Zero'!$A:$L,10,FALSE),0)</f>
        <v>0</v>
      </c>
      <c r="M399" s="32">
        <f>+L399-N399</f>
        <v>0</v>
      </c>
      <c r="N399" s="32">
        <f>IFERROR(VLOOKUP(G399,'Base Zero'!$A:$P,16,FALSE),0)</f>
        <v>0</v>
      </c>
      <c r="O399" s="32">
        <f>IFERROR(VLOOKUP(G399,'Base Execução'!A:M,6,FALSE),0)+IFERROR(VLOOKUP(G399,'Destaque Liberado pela CPRM'!A:F,6,FALSE),0)</f>
        <v>0</v>
      </c>
      <c r="P399" s="231">
        <f>+N399-O399</f>
        <v>0</v>
      </c>
      <c r="Q399" s="33"/>
      <c r="R399" s="231">
        <f>IFERROR(VLOOKUP(G399,'Base Execução'!$A:$K,7,FALSE),0)</f>
        <v>0</v>
      </c>
      <c r="S399" s="231">
        <f>IFERROR(VLOOKUP(G399,'Base Execução'!$A:$K,9,FALSE),0)</f>
        <v>0</v>
      </c>
      <c r="T399" s="32">
        <f>IFERROR(VLOOKUP(G399,'Base Execução'!$A:$K,11,FALSE),0)</f>
        <v>0</v>
      </c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34</v>
      </c>
      <c r="C400" s="278" t="s">
        <v>27</v>
      </c>
      <c r="D400" s="40">
        <v>202067</v>
      </c>
      <c r="E400" s="278">
        <v>4</v>
      </c>
      <c r="F400" s="313">
        <v>100</v>
      </c>
      <c r="G400" s="40" t="str">
        <f>CONCATENATE(D400,"-",E400,"-",F400)</f>
        <v>202067-4-100</v>
      </c>
      <c r="H400" s="32">
        <f>IFERROR(VLOOKUP(G400,'Base Zero'!A:L,6,FALSE),0)</f>
        <v>0</v>
      </c>
      <c r="I400" s="32">
        <f>IFERROR(VLOOKUP(G400,'Base Zero'!A:L,7,FALSE),0)</f>
        <v>0</v>
      </c>
      <c r="J400" s="23">
        <f>(H400+I400)</f>
        <v>0</v>
      </c>
      <c r="K400" s="32">
        <f>(L400-J400)</f>
        <v>0</v>
      </c>
      <c r="L400" s="32">
        <f>IFERROR(VLOOKUP(G400,'Base Zero'!$A:$L,10,FALSE),0)</f>
        <v>0</v>
      </c>
      <c r="M400" s="32">
        <f>+L400-N400</f>
        <v>0</v>
      </c>
      <c r="N400" s="32">
        <f>IFERROR(VLOOKUP(G400,'Base Zero'!$A:$P,16,FALSE),0)</f>
        <v>0</v>
      </c>
      <c r="O400" s="32">
        <f>IFERROR(VLOOKUP(G400,'Base Execução'!A:M,6,FALSE),0)+IFERROR(VLOOKUP(G400,'Destaque Liberado pela CPRM'!A:F,6,FALSE),0)</f>
        <v>0</v>
      </c>
      <c r="P400" s="231">
        <f>+N400-O400</f>
        <v>0</v>
      </c>
      <c r="Q400" s="33"/>
      <c r="R400" s="231">
        <f>IFERROR(VLOOKUP(G400,'Base Execução'!$A:$K,7,FALSE),0)</f>
        <v>0</v>
      </c>
      <c r="S400" s="231">
        <f>IFERROR(VLOOKUP(G400,'Base Execução'!$A:$K,9,FALSE),0)</f>
        <v>0</v>
      </c>
      <c r="T400" s="32">
        <f>IFERROR(VLOOKUP(G400,'Base Execução'!$A:$K,11,FALSE),0)</f>
        <v>0</v>
      </c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160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156</v>
      </c>
      <c r="C402" s="278"/>
      <c r="D402" s="40"/>
      <c r="E402" s="278"/>
      <c r="F402" s="279"/>
      <c r="G402" s="278"/>
      <c r="H402" s="21">
        <f t="shared" ref="H402:T402" si="179">SUM(H403:H403)</f>
        <v>275000</v>
      </c>
      <c r="I402" s="21">
        <f t="shared" si="179"/>
        <v>0</v>
      </c>
      <c r="J402" s="21">
        <f t="shared" si="179"/>
        <v>275000</v>
      </c>
      <c r="K402" s="21">
        <f t="shared" si="179"/>
        <v>0</v>
      </c>
      <c r="L402" s="21">
        <f t="shared" si="179"/>
        <v>275000</v>
      </c>
      <c r="M402" s="21">
        <f t="shared" si="179"/>
        <v>0</v>
      </c>
      <c r="N402" s="21">
        <f t="shared" si="179"/>
        <v>275000</v>
      </c>
      <c r="O402" s="21">
        <f t="shared" si="179"/>
        <v>32340.43</v>
      </c>
      <c r="P402" s="228">
        <f t="shared" si="179"/>
        <v>242659.57</v>
      </c>
      <c r="Q402" s="21">
        <f t="shared" si="179"/>
        <v>0</v>
      </c>
      <c r="R402" s="21">
        <f t="shared" si="179"/>
        <v>29119.9</v>
      </c>
      <c r="S402" s="21">
        <f t="shared" si="179"/>
        <v>21578.63</v>
      </c>
      <c r="T402" s="21">
        <f t="shared" si="179"/>
        <v>20733.68</v>
      </c>
      <c r="U402" s="154">
        <f>+IFERROR((R402/N402),0%)</f>
        <v>0.10589054545454546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174247</v>
      </c>
      <c r="E403" s="278">
        <v>3</v>
      </c>
      <c r="F403" s="313">
        <v>142</v>
      </c>
      <c r="G403" s="40" t="str">
        <f>CONCATENATE(D403,"-",E403,"-",F403)</f>
        <v>174247-3-142</v>
      </c>
      <c r="H403" s="32">
        <f>IFERROR(VLOOKUP(G403,'Base Zero'!A:L,6,FALSE),0)</f>
        <v>275000</v>
      </c>
      <c r="I403" s="32">
        <f>IFERROR(VLOOKUP(G403,'Base Zero'!A:L,7,FALSE),0)</f>
        <v>0</v>
      </c>
      <c r="J403" s="23">
        <f>(H403+I403)</f>
        <v>275000</v>
      </c>
      <c r="K403" s="32">
        <f>(L403-J403)</f>
        <v>0</v>
      </c>
      <c r="L403" s="32">
        <f>IFERROR(VLOOKUP(G403,'Base Zero'!$A:$L,10,FALSE),0)</f>
        <v>275000</v>
      </c>
      <c r="M403" s="32">
        <f>+L403-N403</f>
        <v>0</v>
      </c>
      <c r="N403" s="32">
        <f>IFERROR(VLOOKUP(G403,'Base Zero'!$A:$P,16,FALSE),0)</f>
        <v>275000</v>
      </c>
      <c r="O403" s="32">
        <f>IFERROR(VLOOKUP(G403,'Base Execução'!A:M,6,FALSE),0)+IFERROR(VLOOKUP(G403,'Destaque Liberado pela CPRM'!A:F,6,FALSE),0)</f>
        <v>32340.43</v>
      </c>
      <c r="P403" s="231">
        <f>+N403-O403</f>
        <v>242659.57</v>
      </c>
      <c r="Q403" s="32"/>
      <c r="R403" s="231">
        <f>IFERROR(VLOOKUP(G403,'Base Execução'!$A:$K,7,FALSE),0)</f>
        <v>29119.9</v>
      </c>
      <c r="S403" s="231">
        <f>IFERROR(VLOOKUP(G403,'Base Execução'!$A:$K,9,FALSE),0)</f>
        <v>21578.63</v>
      </c>
      <c r="T403" s="32">
        <f>IFERROR(VLOOKUP(G403,'Base Execução'!$A:$K,11,FALSE),0)</f>
        <v>20733.68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424" t="s">
        <v>295</v>
      </c>
      <c r="C404" s="278"/>
      <c r="D404" s="40"/>
      <c r="E404" s="278"/>
      <c r="F404" s="279"/>
      <c r="G404" s="278"/>
      <c r="H404" s="32"/>
      <c r="I404" s="32"/>
      <c r="J404" s="23"/>
      <c r="K404" s="32"/>
      <c r="L404" s="32"/>
      <c r="M404" s="32"/>
      <c r="N404" s="32"/>
      <c r="O404" s="32"/>
      <c r="P404" s="231"/>
      <c r="Q404" s="33"/>
      <c r="R404" s="232"/>
      <c r="S404" s="232"/>
      <c r="T404" s="31"/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157</v>
      </c>
      <c r="C405" s="278"/>
      <c r="D405" s="40"/>
      <c r="E405" s="278"/>
      <c r="F405" s="279"/>
      <c r="G405" s="278"/>
      <c r="H405" s="21">
        <f t="shared" ref="H405:T405" si="180">SUM(H406:H406)</f>
        <v>350000</v>
      </c>
      <c r="I405" s="21">
        <f t="shared" si="180"/>
        <v>0</v>
      </c>
      <c r="J405" s="21">
        <f t="shared" si="180"/>
        <v>350000</v>
      </c>
      <c r="K405" s="21">
        <f t="shared" si="180"/>
        <v>0</v>
      </c>
      <c r="L405" s="21">
        <f t="shared" si="180"/>
        <v>350000</v>
      </c>
      <c r="M405" s="21">
        <f t="shared" si="180"/>
        <v>0</v>
      </c>
      <c r="N405" s="21">
        <f t="shared" si="180"/>
        <v>350000</v>
      </c>
      <c r="O405" s="21">
        <f t="shared" si="180"/>
        <v>5697.38</v>
      </c>
      <c r="P405" s="228">
        <f t="shared" si="180"/>
        <v>344302.62</v>
      </c>
      <c r="Q405" s="21">
        <f t="shared" si="180"/>
        <v>0</v>
      </c>
      <c r="R405" s="21">
        <f t="shared" si="180"/>
        <v>5666.78</v>
      </c>
      <c r="S405" s="21">
        <f t="shared" si="180"/>
        <v>5666.78</v>
      </c>
      <c r="T405" s="21">
        <f t="shared" si="180"/>
        <v>5142.55</v>
      </c>
      <c r="U405" s="154">
        <f>+IFERROR((R405/N405),0%)</f>
        <v>1.6190799999999998E-2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23</v>
      </c>
      <c r="C406" s="278" t="s">
        <v>24</v>
      </c>
      <c r="D406" s="40">
        <v>174253</v>
      </c>
      <c r="E406" s="278">
        <v>3</v>
      </c>
      <c r="F406" s="313">
        <v>142</v>
      </c>
      <c r="G406" s="40" t="str">
        <f>CONCATENATE(D406,"-",E406,"-",F406)</f>
        <v>174253-3-142</v>
      </c>
      <c r="H406" s="32">
        <f>IFERROR(VLOOKUP(G406,'Base Zero'!A:L,6,FALSE),0)</f>
        <v>350000</v>
      </c>
      <c r="I406" s="32">
        <f>IFERROR(VLOOKUP(G406,'Base Zero'!A:L,7,FALSE),0)</f>
        <v>0</v>
      </c>
      <c r="J406" s="23">
        <f>(H406+I406)</f>
        <v>350000</v>
      </c>
      <c r="K406" s="32">
        <f>(L406-J406)</f>
        <v>0</v>
      </c>
      <c r="L406" s="32">
        <f>IFERROR(VLOOKUP(G406,'Base Zero'!$A:$L,10,FALSE),0)</f>
        <v>350000</v>
      </c>
      <c r="M406" s="32">
        <f>+L406-N406</f>
        <v>0</v>
      </c>
      <c r="N406" s="32">
        <f>IFERROR(VLOOKUP(G406,'Base Zero'!$A:$P,16,FALSE),0)</f>
        <v>350000</v>
      </c>
      <c r="O406" s="32">
        <f>IFERROR(VLOOKUP(G406,'Base Execução'!A:M,6,FALSE),0)+IFERROR(VLOOKUP(G406,'Destaque Liberado pela CPRM'!A:F,6,FALSE),0)</f>
        <v>5697.38</v>
      </c>
      <c r="P406" s="231">
        <f>+N406-O406</f>
        <v>344302.62</v>
      </c>
      <c r="Q406" s="32"/>
      <c r="R406" s="231">
        <f>IFERROR(VLOOKUP(G406,'Base Execução'!$A:$K,7,FALSE),0)</f>
        <v>5666.78</v>
      </c>
      <c r="S406" s="231">
        <f>IFERROR(VLOOKUP(G406,'Base Execução'!$A:$K,9,FALSE),0)</f>
        <v>5666.78</v>
      </c>
      <c r="T406" s="32">
        <f>IFERROR(VLOOKUP(G406,'Base Execução'!$A:$K,11,FALSE),0)</f>
        <v>5142.55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159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158</v>
      </c>
      <c r="C408" s="278"/>
      <c r="D408" s="40"/>
      <c r="E408" s="278"/>
      <c r="F408" s="279"/>
      <c r="G408" s="278"/>
      <c r="H408" s="21">
        <f t="shared" ref="H408:T408" si="181">SUM(H409:H409)</f>
        <v>150000</v>
      </c>
      <c r="I408" s="21">
        <f t="shared" si="181"/>
        <v>0</v>
      </c>
      <c r="J408" s="21">
        <f t="shared" si="181"/>
        <v>150000</v>
      </c>
      <c r="K408" s="21">
        <f t="shared" si="181"/>
        <v>0</v>
      </c>
      <c r="L408" s="21">
        <f t="shared" si="181"/>
        <v>150000</v>
      </c>
      <c r="M408" s="21">
        <f t="shared" si="181"/>
        <v>0</v>
      </c>
      <c r="N408" s="21">
        <f t="shared" si="181"/>
        <v>150000</v>
      </c>
      <c r="O408" s="21">
        <f t="shared" si="181"/>
        <v>0</v>
      </c>
      <c r="P408" s="228">
        <f t="shared" si="181"/>
        <v>150000</v>
      </c>
      <c r="Q408" s="21">
        <f t="shared" si="181"/>
        <v>0</v>
      </c>
      <c r="R408" s="21">
        <f t="shared" si="181"/>
        <v>0</v>
      </c>
      <c r="S408" s="21">
        <f t="shared" si="181"/>
        <v>0</v>
      </c>
      <c r="T408" s="21">
        <f t="shared" si="181"/>
        <v>0</v>
      </c>
      <c r="U408" s="154">
        <f>+IFERROR((R408/N408),0%)</f>
        <v>0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174259</v>
      </c>
      <c r="E409" s="278">
        <v>3</v>
      </c>
      <c r="F409" s="313">
        <v>142</v>
      </c>
      <c r="G409" s="40" t="str">
        <f>CONCATENATE(D409,"-",E409,"-",F409)</f>
        <v>174259-3-142</v>
      </c>
      <c r="H409" s="32">
        <f>IFERROR(VLOOKUP(G409,'Base Zero'!A:L,6,FALSE),0)</f>
        <v>150000</v>
      </c>
      <c r="I409" s="32">
        <f>IFERROR(VLOOKUP(G409,'Base Zero'!A:L,7,FALSE),0)</f>
        <v>0</v>
      </c>
      <c r="J409" s="23">
        <f>(H409+I409)</f>
        <v>150000</v>
      </c>
      <c r="K409" s="32">
        <f>(L409-J409)</f>
        <v>0</v>
      </c>
      <c r="L409" s="32">
        <f>IFERROR(VLOOKUP(G409,'Base Zero'!$A:$L,10,FALSE),0)</f>
        <v>150000</v>
      </c>
      <c r="M409" s="32">
        <f>+L409-N409</f>
        <v>0</v>
      </c>
      <c r="N409" s="32">
        <f>IFERROR(VLOOKUP(G409,'Base Zero'!$A:$P,16,FALSE),0)</f>
        <v>150000</v>
      </c>
      <c r="O409" s="32">
        <f>IFERROR(VLOOKUP(G409,'Base Execução'!A:M,6,FALSE),0)+IFERROR(VLOOKUP(G409,'Destaque Liberado pela CPRM'!A:F,6,FALSE),0)</f>
        <v>0</v>
      </c>
      <c r="P409" s="231">
        <f>+N409-O409</f>
        <v>150000</v>
      </c>
      <c r="Q409" s="32"/>
      <c r="R409" s="231">
        <f>IFERROR(VLOOKUP(G409,'Base Execução'!$A:$K,7,FALSE),0)</f>
        <v>0</v>
      </c>
      <c r="S409" s="231">
        <f>IFERROR(VLOOKUP(G409,'Base Execução'!$A:$K,9,FALSE),0)</f>
        <v>0</v>
      </c>
      <c r="T409" s="32">
        <f>IFERROR(VLOOKUP(G409,'Base Execução'!$A:$K,11,FALSE),0)</f>
        <v>0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thickBot="1" x14ac:dyDescent="0.25">
      <c r="A410" s="95"/>
      <c r="B410" s="35"/>
      <c r="C410" s="269"/>
      <c r="D410" s="39"/>
      <c r="E410" s="269"/>
      <c r="F410" s="44"/>
      <c r="G410" s="269"/>
      <c r="H410" s="31"/>
      <c r="I410" s="31"/>
      <c r="J410" s="28"/>
      <c r="K410" s="31"/>
      <c r="L410" s="31"/>
      <c r="M410" s="31"/>
      <c r="N410" s="31"/>
      <c r="O410" s="31"/>
      <c r="P410" s="232"/>
      <c r="Q410" s="35"/>
      <c r="R410" s="232"/>
      <c r="S410" s="232"/>
      <c r="T410" s="31"/>
      <c r="U410" s="154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30" customHeight="1" thickTop="1" thickBot="1" x14ac:dyDescent="0.25">
      <c r="B411" s="415" t="s">
        <v>47</v>
      </c>
      <c r="C411" s="415"/>
      <c r="D411" s="414"/>
      <c r="E411" s="413"/>
      <c r="F411" s="417"/>
      <c r="G411" s="411"/>
      <c r="H411" s="412">
        <f t="shared" ref="H411:P411" si="182">H387+H373+H347+H321+H290+H280+H256+H247+H223+H207+H182+H148+H138+H124+H96+H83+H65+H57+H37+H29+H9</f>
        <v>517546895</v>
      </c>
      <c r="I411" s="412">
        <f t="shared" si="182"/>
        <v>-3436635</v>
      </c>
      <c r="J411" s="412">
        <f t="shared" si="182"/>
        <v>514110260</v>
      </c>
      <c r="K411" s="412">
        <f t="shared" si="182"/>
        <v>0</v>
      </c>
      <c r="L411" s="412">
        <f t="shared" si="182"/>
        <v>514110260</v>
      </c>
      <c r="M411" s="412">
        <f t="shared" si="182"/>
        <v>1750000</v>
      </c>
      <c r="N411" s="412">
        <f t="shared" si="182"/>
        <v>512360260</v>
      </c>
      <c r="O411" s="412">
        <f t="shared" si="182"/>
        <v>132225395.37</v>
      </c>
      <c r="P411" s="412">
        <f t="shared" si="182"/>
        <v>380134864.63000005</v>
      </c>
      <c r="Q411" s="416"/>
      <c r="R411" s="412">
        <f>R387+R373+R347+R321+R290+R280+R256+R247+R223+R207+R182+R148+R138+R124+R96+R83+R65+R57+R37+R29+R9</f>
        <v>122603969.62</v>
      </c>
      <c r="S411" s="412">
        <f>S387+S373+S347+S321+S290+S280+S256+S247+S223+S207+S182+S148+S138+S124+S96+S83+S65+S57+S37+S29+S9</f>
        <v>104172824.76000001</v>
      </c>
      <c r="T411" s="412">
        <f>T387+T373+T347+T321+T290+T280+T256+T247+T223+T207+T182+T148+T138+T124+T96+T83+T65+T57+T37+T29+T9</f>
        <v>93589711.010000005</v>
      </c>
      <c r="U411" s="418">
        <f>(R411/N411)</f>
        <v>0.23929250410638797</v>
      </c>
      <c r="W411" s="14"/>
      <c r="X411" s="14"/>
    </row>
    <row r="412" spans="1:33" ht="15" customHeight="1" thickTop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1:33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1:33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1:33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1:33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86" max="16383" man="1"/>
  </rowBreaks>
  <ignoredErrors>
    <ignoredError sqref="J394:T394 J401:T401 J403:M403 J406:M406 J396:M396 J404:T404 J388:T388 P396:Q396 P403:Q403 P406:Q40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80" zoomScaleNormal="80" workbookViewId="0">
      <pane xSplit="2" ySplit="10" topLeftCell="C23" activePane="bottomRight" state="frozen"/>
      <selection activeCell="Q5" sqref="Q5:Q7"/>
      <selection pane="topRight" activeCell="Q5" sqref="Q5:Q7"/>
      <selection pane="bottomLeft" activeCell="Q5" sqref="Q5:Q7"/>
      <selection pane="bottomRight" activeCell="J26" sqref="J26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44652</v>
      </c>
    </row>
    <row r="6" spans="1:27" ht="20.100000000000001" hidden="1" customHeight="1" x14ac:dyDescent="0.2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308</v>
      </c>
      <c r="G7" s="522" t="s">
        <v>219</v>
      </c>
      <c r="H7" s="522" t="s">
        <v>105</v>
      </c>
      <c r="I7" s="522" t="s">
        <v>95</v>
      </c>
      <c r="J7" s="522" t="s">
        <v>299</v>
      </c>
      <c r="K7" s="522" t="s">
        <v>19</v>
      </c>
      <c r="L7" s="522" t="s">
        <v>332</v>
      </c>
      <c r="M7" s="522" t="s">
        <v>20</v>
      </c>
      <c r="N7" s="522" t="s">
        <v>331</v>
      </c>
      <c r="O7" s="522" t="s">
        <v>61</v>
      </c>
      <c r="P7" s="522" t="s">
        <v>333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97006.89</v>
      </c>
      <c r="I11" s="389">
        <f>+G11-H11</f>
        <v>137993.10999999999</v>
      </c>
      <c r="J11" s="374">
        <f>IFERROR((H11/G11),0%)</f>
        <v>0.41279527659574466</v>
      </c>
      <c r="K11" s="425">
        <f>'Execução Orçamentária'!R37</f>
        <v>97006.89</v>
      </c>
      <c r="L11" s="374">
        <f>IFERROR((K11/G11),0%)</f>
        <v>0.41279527659574466</v>
      </c>
      <c r="M11" s="425">
        <f>'Execução Orçamentária'!S37</f>
        <v>97006.89</v>
      </c>
      <c r="N11" s="374">
        <f>IFERROR((M11/G11),0%)</f>
        <v>0.41279527659574466</v>
      </c>
      <c r="O11" s="425">
        <f>'Execução Orçamentária'!T37</f>
        <v>97006.89</v>
      </c>
      <c r="P11" s="374">
        <f>IFERROR((O11/G11),0%)</f>
        <v>0.41279527659574466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4271573.1900000004</v>
      </c>
      <c r="I12" s="141">
        <f>G12-H12</f>
        <v>30728426.809999999</v>
      </c>
      <c r="J12" s="375">
        <f t="shared" ref="J12:J26" si="0">IFERROR((H12/G12),0%)</f>
        <v>0.1220449482857143</v>
      </c>
      <c r="K12" s="141">
        <f>'Execução Orçamentária'!R65</f>
        <v>4189943.4600000004</v>
      </c>
      <c r="L12" s="374">
        <f t="shared" ref="L12:L26" si="1">IFERROR((K12/G12),0%)</f>
        <v>0.11971267028571429</v>
      </c>
      <c r="M12" s="141">
        <f>'Execução Orçamentária'!S65</f>
        <v>3225277.1100000003</v>
      </c>
      <c r="N12" s="374">
        <f t="shared" ref="N12:N26" si="2">IFERROR((M12/G12),0%)</f>
        <v>9.2150774571428576E-2</v>
      </c>
      <c r="O12" s="141">
        <f>'Execução Orçamentária'!T65</f>
        <v>2453518.5900000003</v>
      </c>
      <c r="P12" s="374">
        <f t="shared" ref="P12:P26" si="3">IFERROR((O12/G12),0%)</f>
        <v>7.010053114285715E-2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0</v>
      </c>
      <c r="E13" s="149">
        <f>'Execução Orçamentária'!L138</f>
        <v>1450000</v>
      </c>
      <c r="F13" s="149">
        <f>'Execução Orçamentária'!M138</f>
        <v>0</v>
      </c>
      <c r="G13" s="149">
        <f>'Execução Orçamentária'!N138</f>
        <v>1450000</v>
      </c>
      <c r="H13" s="149">
        <f>'Execução Orçamentária'!O138</f>
        <v>213664.27000000002</v>
      </c>
      <c r="I13" s="340">
        <f>G13-H13</f>
        <v>1236335.73</v>
      </c>
      <c r="J13" s="375">
        <f t="shared" si="0"/>
        <v>0.14735466896551724</v>
      </c>
      <c r="K13" s="340">
        <f>'Execução Orçamentária'!R138</f>
        <v>104175.47</v>
      </c>
      <c r="L13" s="374">
        <f t="shared" si="1"/>
        <v>7.1845151724137926E-2</v>
      </c>
      <c r="M13" s="340">
        <f>'Execução Orçamentária'!S138</f>
        <v>16123.47</v>
      </c>
      <c r="N13" s="374">
        <f t="shared" si="2"/>
        <v>1.1119634482758621E-2</v>
      </c>
      <c r="O13" s="340">
        <f>'Execução Orçamentária'!T138</f>
        <v>16123.47</v>
      </c>
      <c r="P13" s="374">
        <f t="shared" si="3"/>
        <v>1.1119634482758621E-2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0</v>
      </c>
      <c r="E14" s="142">
        <f>'Execução Orçamentária'!L148</f>
        <v>18800000</v>
      </c>
      <c r="F14" s="142">
        <f>'Execução Orçamentária'!M148</f>
        <v>0</v>
      </c>
      <c r="G14" s="142">
        <f>'Execução Orçamentária'!N148</f>
        <v>18800000</v>
      </c>
      <c r="H14" s="142">
        <f>'Execução Orçamentária'!O148</f>
        <v>5955711.5700000003</v>
      </c>
      <c r="I14" s="141">
        <f>+G14-H14</f>
        <v>12844288.43</v>
      </c>
      <c r="J14" s="375">
        <f t="shared" si="0"/>
        <v>0.31679316861702128</v>
      </c>
      <c r="K14" s="141">
        <f>'Execução Orçamentária'!R148</f>
        <v>5939763.9900000002</v>
      </c>
      <c r="L14" s="374">
        <f t="shared" si="1"/>
        <v>0.31594489308510637</v>
      </c>
      <c r="M14" s="141">
        <f>'Execução Orçamentária'!S148</f>
        <v>37503.279999999999</v>
      </c>
      <c r="N14" s="374">
        <f t="shared" si="2"/>
        <v>1.9948553191489363E-3</v>
      </c>
      <c r="O14" s="141">
        <f>'Execução Orçamentária'!T148</f>
        <v>28186.489999999998</v>
      </c>
      <c r="P14" s="374">
        <f t="shared" si="3"/>
        <v>1.4992813829787233E-3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0</v>
      </c>
      <c r="E15" s="142">
        <f>'Execução Orçamentária'!L182</f>
        <v>5000000</v>
      </c>
      <c r="F15" s="142">
        <f>'Execução Orçamentária'!M182</f>
        <v>0</v>
      </c>
      <c r="G15" s="142">
        <f>'Execução Orçamentária'!N182</f>
        <v>5000000</v>
      </c>
      <c r="H15" s="142">
        <f>'Execução Orçamentária'!O182</f>
        <v>291265.99</v>
      </c>
      <c r="I15" s="141">
        <f>+G15-H15</f>
        <v>4708734.01</v>
      </c>
      <c r="J15" s="375">
        <f t="shared" si="0"/>
        <v>5.8253197999999999E-2</v>
      </c>
      <c r="K15" s="141">
        <f>'Execução Orçamentária'!R182</f>
        <v>266069.27999999997</v>
      </c>
      <c r="L15" s="374">
        <f t="shared" si="1"/>
        <v>5.3213855999999997E-2</v>
      </c>
      <c r="M15" s="141">
        <f>'Execução Orçamentária'!S182</f>
        <v>187703.99000000002</v>
      </c>
      <c r="N15" s="374">
        <f t="shared" si="2"/>
        <v>3.7540798000000007E-2</v>
      </c>
      <c r="O15" s="141">
        <f>'Execução Orçamentária'!T182</f>
        <v>175814.61000000002</v>
      </c>
      <c r="P15" s="374">
        <f t="shared" si="3"/>
        <v>3.5162922000000006E-2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0</v>
      </c>
      <c r="E16" s="142">
        <f>'Execução Orçamentária'!L207</f>
        <v>5000000</v>
      </c>
      <c r="F16" s="142">
        <f>'Execução Orçamentária'!M207</f>
        <v>700000</v>
      </c>
      <c r="G16" s="142">
        <f>'Execução Orçamentária'!N207</f>
        <v>4300000</v>
      </c>
      <c r="H16" s="142">
        <f>'Execução Orçamentária'!O207</f>
        <v>773569.33</v>
      </c>
      <c r="I16" s="141">
        <f>+G16-H16</f>
        <v>3526430.67</v>
      </c>
      <c r="J16" s="375">
        <f t="shared" si="0"/>
        <v>0.17989984418604651</v>
      </c>
      <c r="K16" s="141">
        <f>'Execução Orçamentária'!R207</f>
        <v>669463.16999999993</v>
      </c>
      <c r="L16" s="374">
        <f t="shared" si="1"/>
        <v>0.15568910930232557</v>
      </c>
      <c r="M16" s="141">
        <f>'Execução Orçamentária'!S207</f>
        <v>532332.29</v>
      </c>
      <c r="N16" s="374">
        <f t="shared" si="2"/>
        <v>0.12379820697674419</v>
      </c>
      <c r="O16" s="141">
        <f>'Execução Orçamentária'!T207</f>
        <v>472019.99</v>
      </c>
      <c r="P16" s="374">
        <f t="shared" si="3"/>
        <v>0.10977209069767442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0</v>
      </c>
      <c r="E17" s="142">
        <f>'Execução Orçamentária'!L223</f>
        <v>3000000</v>
      </c>
      <c r="F17" s="142">
        <f>'Execução Orçamentária'!M223</f>
        <v>0</v>
      </c>
      <c r="G17" s="142">
        <f>'Execução Orçamentária'!N223</f>
        <v>3000000</v>
      </c>
      <c r="H17" s="142">
        <f>'Execução Orçamentária'!O223</f>
        <v>664275.41</v>
      </c>
      <c r="I17" s="141">
        <f t="shared" ref="I17:I24" si="4">+G17-H17</f>
        <v>2335724.59</v>
      </c>
      <c r="J17" s="375">
        <f t="shared" si="0"/>
        <v>0.22142513666666669</v>
      </c>
      <c r="K17" s="141">
        <f>'Execução Orçamentária'!R223</f>
        <v>634553.75</v>
      </c>
      <c r="L17" s="374">
        <f t="shared" si="1"/>
        <v>0.21151791666666667</v>
      </c>
      <c r="M17" s="141">
        <f>'Execução Orçamentária'!S223</f>
        <v>634553.75</v>
      </c>
      <c r="N17" s="374">
        <f t="shared" si="2"/>
        <v>0.21151791666666667</v>
      </c>
      <c r="O17" s="141">
        <f>'Execução Orçamentária'!T223</f>
        <v>483748.13</v>
      </c>
      <c r="P17" s="374">
        <f t="shared" si="3"/>
        <v>0.16124937666666667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0</v>
      </c>
      <c r="E19" s="142">
        <f>'Execução Orçamentária'!L256</f>
        <v>10000000</v>
      </c>
      <c r="F19" s="142">
        <f>'Execução Orçamentária'!M256</f>
        <v>0</v>
      </c>
      <c r="G19" s="142">
        <f>'Execução Orçamentária'!N256</f>
        <v>10000000</v>
      </c>
      <c r="H19" s="142">
        <f>'Execução Orçamentária'!O256</f>
        <v>2674630.58</v>
      </c>
      <c r="I19" s="141">
        <f t="shared" si="4"/>
        <v>7325369.4199999999</v>
      </c>
      <c r="J19" s="375">
        <f t="shared" si="0"/>
        <v>0.26746305800000003</v>
      </c>
      <c r="K19" s="141">
        <f>'Execução Orçamentária'!R256</f>
        <v>2566132.15</v>
      </c>
      <c r="L19" s="374">
        <f t="shared" si="1"/>
        <v>0.25661321500000001</v>
      </c>
      <c r="M19" s="141">
        <f>'Execução Orçamentária'!S256</f>
        <v>1000519.5700000001</v>
      </c>
      <c r="N19" s="374">
        <f t="shared" si="2"/>
        <v>0.10005195700000001</v>
      </c>
      <c r="O19" s="141">
        <f>'Execução Orçamentária'!T256</f>
        <v>395108.69</v>
      </c>
      <c r="P19" s="374">
        <f t="shared" si="3"/>
        <v>3.9510868999999997E-2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0</v>
      </c>
      <c r="E20" s="142">
        <f>'Execução Orçamentária'!L280</f>
        <v>1500000</v>
      </c>
      <c r="F20" s="142">
        <f>'Execução Orçamentária'!M280</f>
        <v>0</v>
      </c>
      <c r="G20" s="142">
        <f>'Execução Orçamentária'!N280</f>
        <v>1500000</v>
      </c>
      <c r="H20" s="142">
        <f>'Execução Orçamentária'!O280</f>
        <v>127694.48</v>
      </c>
      <c r="I20" s="141">
        <f t="shared" si="4"/>
        <v>1372305.52</v>
      </c>
      <c r="J20" s="375">
        <f t="shared" si="0"/>
        <v>8.5129653333333333E-2</v>
      </c>
      <c r="K20" s="141">
        <f>'Execução Orçamentária'!R280</f>
        <v>70408.09</v>
      </c>
      <c r="L20" s="374">
        <f t="shared" si="1"/>
        <v>4.6938726666666666E-2</v>
      </c>
      <c r="M20" s="141">
        <f>'Execução Orçamentária'!S280</f>
        <v>70408.09</v>
      </c>
      <c r="N20" s="374">
        <f t="shared" si="2"/>
        <v>4.6938726666666666E-2</v>
      </c>
      <c r="O20" s="141">
        <f>'Execução Orçamentária'!T280</f>
        <v>69494.09</v>
      </c>
      <c r="P20" s="374">
        <f t="shared" si="3"/>
        <v>4.632939333333333E-2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0</v>
      </c>
      <c r="E21" s="142">
        <f>'Execução Orçamentária'!L290</f>
        <v>7500000</v>
      </c>
      <c r="F21" s="142">
        <f>'Execução Orçamentária'!M290</f>
        <v>0</v>
      </c>
      <c r="G21" s="142">
        <f>'Execução Orçamentária'!N290</f>
        <v>7500000</v>
      </c>
      <c r="H21" s="142">
        <f>'Execução Orçamentária'!O290</f>
        <v>689731.29</v>
      </c>
      <c r="I21" s="141">
        <f t="shared" si="4"/>
        <v>6810268.71</v>
      </c>
      <c r="J21" s="375">
        <f t="shared" si="0"/>
        <v>9.1964172000000011E-2</v>
      </c>
      <c r="K21" s="141">
        <f>'Execução Orçamentária'!R290</f>
        <v>577470.79</v>
      </c>
      <c r="L21" s="374">
        <f t="shared" si="1"/>
        <v>7.6996105333333342E-2</v>
      </c>
      <c r="M21" s="141">
        <f>'Execução Orçamentária'!S290</f>
        <v>350003.74</v>
      </c>
      <c r="N21" s="374">
        <f t="shared" si="2"/>
        <v>4.666716533333333E-2</v>
      </c>
      <c r="O21" s="141">
        <f>'Execução Orçamentária'!T290</f>
        <v>221292.25</v>
      </c>
      <c r="P21" s="374">
        <f t="shared" si="3"/>
        <v>2.9505633333333333E-2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Orçamentária'!J321</f>
        <v>10700000</v>
      </c>
      <c r="D22" s="141">
        <f>'Execução Orçamentária'!K321</f>
        <v>0</v>
      </c>
      <c r="E22" s="141">
        <f>'Execução Orçamentária'!L321</f>
        <v>10700000</v>
      </c>
      <c r="F22" s="141">
        <f>'Execução Orçamentária'!M321</f>
        <v>0</v>
      </c>
      <c r="G22" s="141">
        <f>'Execução Orçamentária'!N321</f>
        <v>10700000</v>
      </c>
      <c r="H22" s="141">
        <f>'Execução Orçamentária'!O321</f>
        <v>1873882.5499999998</v>
      </c>
      <c r="I22" s="141">
        <f t="shared" si="4"/>
        <v>8826117.4499999993</v>
      </c>
      <c r="J22" s="375">
        <f t="shared" si="0"/>
        <v>0.17512921028037381</v>
      </c>
      <c r="K22" s="141">
        <f>'Execução Orçamentária'!R321</f>
        <v>1712355.3</v>
      </c>
      <c r="L22" s="374">
        <f t="shared" si="1"/>
        <v>0.16003320560747664</v>
      </c>
      <c r="M22" s="141">
        <f>'Execução Orçamentária'!S321</f>
        <v>790093.77</v>
      </c>
      <c r="N22" s="374">
        <f t="shared" si="2"/>
        <v>7.3840539252336454E-2</v>
      </c>
      <c r="O22" s="141">
        <f>'Execução Orçamentária'!T321</f>
        <v>288531.41000000003</v>
      </c>
      <c r="P22" s="374">
        <f t="shared" si="3"/>
        <v>2.6965552336448602E-2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Orçamentária'!J347</f>
        <v>15200000</v>
      </c>
      <c r="D23" s="141">
        <f>'Execução Orçamentária'!K347</f>
        <v>0</v>
      </c>
      <c r="E23" s="141">
        <f>'Execução Orçamentária'!L347</f>
        <v>15200000</v>
      </c>
      <c r="F23" s="141">
        <f>'Execução Orçamentária'!M347</f>
        <v>0</v>
      </c>
      <c r="G23" s="141">
        <f>'Execução Orçamentária'!N347</f>
        <v>15200000</v>
      </c>
      <c r="H23" s="141">
        <f>'Execução Orçamentária'!O347</f>
        <v>1468728.16</v>
      </c>
      <c r="I23" s="141">
        <f t="shared" si="4"/>
        <v>13731271.84</v>
      </c>
      <c r="J23" s="375">
        <f t="shared" si="0"/>
        <v>9.6626852631578941E-2</v>
      </c>
      <c r="K23" s="141">
        <f>'Execução Orçamentária'!R347</f>
        <v>1445174.12</v>
      </c>
      <c r="L23" s="374">
        <f t="shared" si="1"/>
        <v>9.5077244736842106E-2</v>
      </c>
      <c r="M23" s="141">
        <f>'Execução Orçamentária'!S347</f>
        <v>612547.31000000006</v>
      </c>
      <c r="N23" s="374">
        <f t="shared" si="2"/>
        <v>4.0299165131578954E-2</v>
      </c>
      <c r="O23" s="141">
        <f>'Execução Orçamentária'!T347</f>
        <v>525398.38</v>
      </c>
      <c r="P23" s="374">
        <f t="shared" si="3"/>
        <v>3.4565682894736841E-2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Orçamentária'!J373</f>
        <v>8500000</v>
      </c>
      <c r="D24" s="141">
        <f>'Execução Orçamentária'!K373</f>
        <v>0</v>
      </c>
      <c r="E24" s="141">
        <f>'Execução Orçamentária'!L373</f>
        <v>8500000</v>
      </c>
      <c r="F24" s="141">
        <f>'Execução Orçamentária'!M373</f>
        <v>0</v>
      </c>
      <c r="G24" s="141">
        <f>'Execução Orçamentária'!N373</f>
        <v>8500000</v>
      </c>
      <c r="H24" s="141">
        <f>'Execução Orçamentária'!O373</f>
        <v>1159748.42</v>
      </c>
      <c r="I24" s="141">
        <f t="shared" si="4"/>
        <v>7340251.5800000001</v>
      </c>
      <c r="J24" s="375">
        <f t="shared" si="0"/>
        <v>0.13644099058823528</v>
      </c>
      <c r="K24" s="141">
        <f>'Execução Orçamentária'!R373</f>
        <v>1058737.99</v>
      </c>
      <c r="L24" s="374">
        <f t="shared" si="1"/>
        <v>0.12455741058823529</v>
      </c>
      <c r="M24" s="141">
        <f>'Execução Orçamentária'!S373</f>
        <v>675772.26</v>
      </c>
      <c r="N24" s="374">
        <f t="shared" si="2"/>
        <v>7.9502618823529408E-2</v>
      </c>
      <c r="O24" s="141">
        <f>'Execução Orçamentária'!T373</f>
        <v>408744.42000000004</v>
      </c>
      <c r="P24" s="374">
        <f t="shared" si="3"/>
        <v>4.8087578823529417E-2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Orçamentária'!J387</f>
        <v>1000000</v>
      </c>
      <c r="D25" s="147">
        <f>'Execução Orçamentária'!K387</f>
        <v>0</v>
      </c>
      <c r="E25" s="147">
        <f>'Execução Orçamentária'!L387</f>
        <v>1000000</v>
      </c>
      <c r="F25" s="147">
        <f>'Execução Orçamentária'!M387</f>
        <v>0</v>
      </c>
      <c r="G25" s="147">
        <f>'Execução Orçamentária'!N387</f>
        <v>1000000</v>
      </c>
      <c r="H25" s="147">
        <f>'Execução Orçamentária'!O387</f>
        <v>50745.26</v>
      </c>
      <c r="I25" s="147">
        <f>G25-H25</f>
        <v>949254.74</v>
      </c>
      <c r="J25" s="390">
        <f t="shared" si="0"/>
        <v>5.074526E-2</v>
      </c>
      <c r="K25" s="426">
        <f>'Execução Orçamentária'!R387</f>
        <v>45761.82</v>
      </c>
      <c r="L25" s="374">
        <f t="shared" si="1"/>
        <v>4.5761820000000002E-2</v>
      </c>
      <c r="M25" s="426">
        <f>'Execução Orçamentária'!S387</f>
        <v>29931.989999999998</v>
      </c>
      <c r="N25" s="374">
        <f t="shared" si="2"/>
        <v>2.9931989999999999E-2</v>
      </c>
      <c r="O25" s="426">
        <f>'Execução Orçamentária'!T387</f>
        <v>26733.62</v>
      </c>
      <c r="P25" s="374">
        <f t="shared" si="3"/>
        <v>2.673362E-2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0</v>
      </c>
      <c r="E26" s="385">
        <f t="shared" si="5"/>
        <v>125250000</v>
      </c>
      <c r="F26" s="385">
        <f t="shared" si="5"/>
        <v>700000</v>
      </c>
      <c r="G26" s="385">
        <f t="shared" si="5"/>
        <v>124550000</v>
      </c>
      <c r="H26" s="385">
        <f t="shared" si="5"/>
        <v>20312227.390000004</v>
      </c>
      <c r="I26" s="385">
        <f t="shared" si="5"/>
        <v>104237772.61</v>
      </c>
      <c r="J26" s="386">
        <f t="shared" si="0"/>
        <v>0.16308492484945808</v>
      </c>
      <c r="K26" s="385">
        <f>SUM(K11:K25)</f>
        <v>19377016.27</v>
      </c>
      <c r="L26" s="386">
        <f t="shared" si="1"/>
        <v>0.15557620449618625</v>
      </c>
      <c r="M26" s="385">
        <f>SUM(M11:M25)</f>
        <v>8259777.5100000016</v>
      </c>
      <c r="N26" s="386">
        <f t="shared" si="2"/>
        <v>6.6316961140104394E-2</v>
      </c>
      <c r="O26" s="385">
        <f>SUM(O11:O25)</f>
        <v>5661721.0300000012</v>
      </c>
      <c r="P26" s="386">
        <f t="shared" si="3"/>
        <v>4.5457414933761549E-2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80" zoomScaleNormal="80" workbookViewId="0">
      <pane xSplit="2" ySplit="10" topLeftCell="H17" activePane="bottomRight" state="frozen"/>
      <selection pane="topRight" activeCell="K1" sqref="K1"/>
      <selection pane="bottomLeft" activeCell="A11" sqref="A11"/>
      <selection pane="bottomRight" activeCell="S7" sqref="S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44652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9" t="s">
        <v>89</v>
      </c>
      <c r="F6" s="520"/>
      <c r="G6" s="520"/>
      <c r="H6" s="521"/>
    </row>
    <row r="7" spans="1:27" s="91" customFormat="1" ht="18.75" customHeight="1" thickTop="1" x14ac:dyDescent="0.2">
      <c r="A7" s="63"/>
      <c r="B7" s="527" t="s">
        <v>21</v>
      </c>
      <c r="C7" s="522" t="s">
        <v>93</v>
      </c>
      <c r="D7" s="522" t="s">
        <v>127</v>
      </c>
      <c r="E7" s="522" t="s">
        <v>94</v>
      </c>
      <c r="F7" s="522" t="s">
        <v>309</v>
      </c>
      <c r="G7" s="522" t="s">
        <v>219</v>
      </c>
      <c r="H7" s="522" t="s">
        <v>105</v>
      </c>
      <c r="I7" s="522" t="s">
        <v>95</v>
      </c>
      <c r="J7" s="522" t="s">
        <v>299</v>
      </c>
      <c r="K7" s="522" t="s">
        <v>19</v>
      </c>
      <c r="L7" s="522" t="s">
        <v>332</v>
      </c>
      <c r="M7" s="522" t="s">
        <v>20</v>
      </c>
      <c r="N7" s="522" t="s">
        <v>331</v>
      </c>
      <c r="O7" s="522" t="s">
        <v>61</v>
      </c>
      <c r="P7" s="522" t="s">
        <v>333</v>
      </c>
      <c r="Q7" s="52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28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28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2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2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0</v>
      </c>
      <c r="E11" s="149">
        <f>'Execução Orçamentária'!L124</f>
        <v>340226868</v>
      </c>
      <c r="F11" s="149">
        <f>'Execução Orçamentária'!M124</f>
        <v>0</v>
      </c>
      <c r="G11" s="149">
        <f>'Execução Orçamentária'!N124</f>
        <v>340226868</v>
      </c>
      <c r="H11" s="149">
        <f>'Execução Orçamentária'!O124</f>
        <v>102391012.26000001</v>
      </c>
      <c r="I11" s="340">
        <f>+G11-H11</f>
        <v>237835855.74000001</v>
      </c>
      <c r="J11" s="374">
        <f>IFERROR((H11/G11),0%)</f>
        <v>0.30094922503298593</v>
      </c>
      <c r="K11" s="427">
        <f>'Execução Orçamentária'!R124</f>
        <v>93768797.829999998</v>
      </c>
      <c r="L11" s="374">
        <f>IFERROR((K11/G11),0%)</f>
        <v>0.27560668086331147</v>
      </c>
      <c r="M11" s="427">
        <f>'Execução Orçamentária'!S124</f>
        <v>87477791.629999995</v>
      </c>
      <c r="N11" s="374">
        <f>IFERROR((M11/G11),0%)</f>
        <v>0.25711605948181609</v>
      </c>
      <c r="O11" s="427">
        <f>'Execução Orçamentária'!T124</f>
        <v>79706563.920000002</v>
      </c>
      <c r="P11" s="374">
        <f>IFERROR((O11/G11),0%)</f>
        <v>0.23427474845990118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5013860.0200000005</v>
      </c>
      <c r="I12" s="147">
        <f>+G12-H12</f>
        <v>21575246.98</v>
      </c>
      <c r="J12" s="374">
        <f t="shared" ref="J12:J19" si="0">IFERROR((H12/G12),0%)</f>
        <v>0.18856819899968813</v>
      </c>
      <c r="K12" s="141">
        <f>'Execução Orçamentária'!R83</f>
        <v>4976988.62</v>
      </c>
      <c r="L12" s="374">
        <f t="shared" ref="L12:L19" si="1">IFERROR((K12/G12),0%)</f>
        <v>0.18718148826886138</v>
      </c>
      <c r="M12" s="141">
        <f>'Execução Orçamentária'!S83</f>
        <v>3966492.8000000003</v>
      </c>
      <c r="N12" s="374">
        <f t="shared" ref="N12:N19" si="2">IFERROR((M12/G12),0%)</f>
        <v>0.14917736048826311</v>
      </c>
      <c r="O12" s="141">
        <f>'Execução Orçamentária'!T83</f>
        <v>3752710.87</v>
      </c>
      <c r="P12" s="374">
        <f t="shared" ref="P12:P19" si="3">IFERROR((O12/G12),0%)</f>
        <v>0.14113715327107451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298377.92</v>
      </c>
      <c r="I13" s="147">
        <f t="shared" ref="I13:I18" si="4">+G13-H13</f>
        <v>1651124.08</v>
      </c>
      <c r="J13" s="374">
        <f t="shared" si="0"/>
        <v>0.15305340543379795</v>
      </c>
      <c r="K13" s="141">
        <f>'Execução Orçamentária'!R103</f>
        <v>271681.61</v>
      </c>
      <c r="L13" s="374">
        <f t="shared" si="1"/>
        <v>0.13935949283458032</v>
      </c>
      <c r="M13" s="141">
        <f>'Execução Orçamentária'!S103</f>
        <v>262685.19</v>
      </c>
      <c r="N13" s="374">
        <f t="shared" si="2"/>
        <v>0.1347447655862882</v>
      </c>
      <c r="O13" s="141">
        <f>'Execução Orçamentária'!T103</f>
        <v>262685.19</v>
      </c>
      <c r="P13" s="374">
        <f t="shared" si="3"/>
        <v>0.1347447655862882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19776.560000000001</v>
      </c>
      <c r="I14" s="147">
        <f t="shared" si="4"/>
        <v>213400.44</v>
      </c>
      <c r="J14" s="374">
        <f t="shared" si="0"/>
        <v>8.4813510766499275E-2</v>
      </c>
      <c r="K14" s="141">
        <f>'Execução Orçamentária'!R110</f>
        <v>19344.07</v>
      </c>
      <c r="L14" s="374">
        <f t="shared" si="1"/>
        <v>8.2958739498321013E-2</v>
      </c>
      <c r="M14" s="141">
        <f>'Execução Orçamentária'!S110</f>
        <v>15936.41</v>
      </c>
      <c r="N14" s="374">
        <f t="shared" si="2"/>
        <v>6.834469094293176E-2</v>
      </c>
      <c r="O14" s="141">
        <f>'Execução Orçamentária'!T110</f>
        <v>15888.78</v>
      </c>
      <c r="P14" s="374">
        <f t="shared" si="3"/>
        <v>6.8140425513665587E-2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3703801.02</v>
      </c>
      <c r="I15" s="147">
        <f t="shared" si="4"/>
        <v>13924936.98</v>
      </c>
      <c r="J15" s="374">
        <f t="shared" si="0"/>
        <v>0.21010017960446176</v>
      </c>
      <c r="K15" s="141">
        <f>'Execução Orçamentária'!R117</f>
        <v>3703801.02</v>
      </c>
      <c r="L15" s="374">
        <f t="shared" si="1"/>
        <v>0.21010017960446176</v>
      </c>
      <c r="M15" s="141">
        <f>'Execução Orçamentária'!S117</f>
        <v>3703801.02</v>
      </c>
      <c r="N15" s="374">
        <f t="shared" si="2"/>
        <v>0.21010017960446176</v>
      </c>
      <c r="O15" s="141">
        <f>'Execução Orçamentária'!T117</f>
        <v>3703801.02</v>
      </c>
      <c r="P15" s="374">
        <f t="shared" si="3"/>
        <v>0.21010017960446176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0</v>
      </c>
      <c r="E16" s="142">
        <f>'Execução Orçamentária'!L29</f>
        <v>322868</v>
      </c>
      <c r="F16" s="142">
        <f>'Execução Orçamentária'!M29</f>
        <v>0</v>
      </c>
      <c r="G16" s="142">
        <f>'Execução Orçamentária'!N29</f>
        <v>322868</v>
      </c>
      <c r="H16" s="142">
        <f>'Execução Orçamentária'!O29</f>
        <v>81031.58</v>
      </c>
      <c r="I16" s="147">
        <f t="shared" si="4"/>
        <v>241836.41999999998</v>
      </c>
      <c r="J16" s="374">
        <f t="shared" si="0"/>
        <v>0.2509743300667765</v>
      </c>
      <c r="K16" s="141">
        <f>'Execução Orçamentária'!R29</f>
        <v>81031.58</v>
      </c>
      <c r="L16" s="374">
        <f t="shared" si="1"/>
        <v>0.2509743300667765</v>
      </c>
      <c r="M16" s="141">
        <f>'Execução Orçamentária'!S29</f>
        <v>81031.58</v>
      </c>
      <c r="N16" s="374">
        <f t="shared" si="2"/>
        <v>0.2509743300667765</v>
      </c>
      <c r="O16" s="141">
        <f>'Execução Orçamentária'!T29</f>
        <v>81031.58</v>
      </c>
      <c r="P16" s="374">
        <f t="shared" si="3"/>
        <v>0.2509743300667765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0</v>
      </c>
      <c r="E17" s="142">
        <f>'Execução Orçamentária'!L9</f>
        <v>1910000</v>
      </c>
      <c r="F17" s="142">
        <f>'Execução Orçamentária'!M9</f>
        <v>1050000</v>
      </c>
      <c r="G17" s="142">
        <f>'Execução Orçamentária'!N9</f>
        <v>860000</v>
      </c>
      <c r="H17" s="142">
        <f>'Execução Orçamentária'!O9</f>
        <v>405308.62</v>
      </c>
      <c r="I17" s="147">
        <f t="shared" si="4"/>
        <v>454691.38</v>
      </c>
      <c r="J17" s="374">
        <f t="shared" si="0"/>
        <v>0.47128909302325583</v>
      </c>
      <c r="K17" s="141">
        <f>'Execução Orçamentária'!R9</f>
        <v>405308.62</v>
      </c>
      <c r="L17" s="374">
        <f t="shared" si="1"/>
        <v>0.47128909302325583</v>
      </c>
      <c r="M17" s="141">
        <f>'Execução Orçamentária'!S9</f>
        <v>405308.62</v>
      </c>
      <c r="N17" s="374">
        <f t="shared" si="2"/>
        <v>0.47128909302325583</v>
      </c>
      <c r="O17" s="141">
        <f>'Execução Orçamentária'!T9</f>
        <v>405308.62</v>
      </c>
      <c r="P17" s="374">
        <f t="shared" si="3"/>
        <v>0.47128909302325583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0</v>
      </c>
      <c r="E19" s="385">
        <f t="shared" si="5"/>
        <v>388860260</v>
      </c>
      <c r="F19" s="385">
        <f t="shared" si="5"/>
        <v>1050000</v>
      </c>
      <c r="G19" s="385">
        <f t="shared" si="5"/>
        <v>387810260</v>
      </c>
      <c r="H19" s="385">
        <f t="shared" si="5"/>
        <v>111913167.98</v>
      </c>
      <c r="I19" s="385">
        <f t="shared" si="5"/>
        <v>275897092.02000004</v>
      </c>
      <c r="J19" s="386">
        <f t="shared" si="0"/>
        <v>0.28857712011023123</v>
      </c>
      <c r="K19" s="385">
        <f>SUM(K11:K18)</f>
        <v>103226953.34999999</v>
      </c>
      <c r="L19" s="386">
        <f t="shared" si="1"/>
        <v>0.26617901586719234</v>
      </c>
      <c r="M19" s="385">
        <f>SUM(M11:M18)</f>
        <v>95913047.249999985</v>
      </c>
      <c r="N19" s="386">
        <f t="shared" si="2"/>
        <v>0.24731951973111796</v>
      </c>
      <c r="O19" s="385">
        <f>SUM(O11:O18)</f>
        <v>87927989.980000004</v>
      </c>
      <c r="P19" s="386">
        <f t="shared" si="3"/>
        <v>0.22672940623076862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44661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9" t="s">
        <v>89</v>
      </c>
      <c r="N6" s="520"/>
      <c r="O6" s="520"/>
      <c r="P6" s="52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3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32" t="s">
        <v>126</v>
      </c>
      <c r="K7" s="534" t="s">
        <v>93</v>
      </c>
      <c r="L7" s="536" t="s">
        <v>127</v>
      </c>
      <c r="M7" s="536" t="s">
        <v>94</v>
      </c>
      <c r="N7" s="538" t="s">
        <v>186</v>
      </c>
      <c r="O7" s="536" t="s">
        <v>194</v>
      </c>
      <c r="P7" s="538" t="s">
        <v>105</v>
      </c>
      <c r="Q7" s="536" t="s">
        <v>95</v>
      </c>
      <c r="R7" s="538" t="s">
        <v>188</v>
      </c>
      <c r="S7" s="541" t="s">
        <v>187</v>
      </c>
      <c r="T7" s="538" t="s">
        <v>193</v>
      </c>
      <c r="U7" s="541" t="s">
        <v>190</v>
      </c>
      <c r="V7" s="538" t="s">
        <v>61</v>
      </c>
      <c r="W7" s="541" t="s">
        <v>192</v>
      </c>
      <c r="X7" s="54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31"/>
      <c r="C8" s="193"/>
      <c r="D8" s="194"/>
      <c r="E8" s="193"/>
      <c r="F8" s="195"/>
      <c r="G8" s="193"/>
      <c r="H8" s="196"/>
      <c r="I8" s="196"/>
      <c r="J8" s="533"/>
      <c r="K8" s="535"/>
      <c r="L8" s="537"/>
      <c r="M8" s="537"/>
      <c r="N8" s="539"/>
      <c r="O8" s="537"/>
      <c r="P8" s="539"/>
      <c r="Q8" s="537"/>
      <c r="R8" s="539"/>
      <c r="S8" s="542"/>
      <c r="T8" s="539"/>
      <c r="U8" s="542"/>
      <c r="V8" s="539"/>
      <c r="W8" s="542"/>
      <c r="X8" s="54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31"/>
      <c r="C9" s="193"/>
      <c r="D9" s="194"/>
      <c r="E9" s="193"/>
      <c r="F9" s="195"/>
      <c r="G9" s="193"/>
      <c r="H9" s="196"/>
      <c r="I9" s="196"/>
      <c r="J9" s="533"/>
      <c r="K9" s="535"/>
      <c r="L9" s="537"/>
      <c r="M9" s="537"/>
      <c r="N9" s="540"/>
      <c r="O9" s="537"/>
      <c r="P9" s="540"/>
      <c r="Q9" s="537"/>
      <c r="R9" s="540"/>
      <c r="S9" s="542"/>
      <c r="T9" s="540"/>
      <c r="U9" s="542"/>
      <c r="V9" s="540"/>
      <c r="W9" s="542"/>
      <c r="X9" s="54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31"/>
      <c r="C10" s="193"/>
      <c r="D10" s="194"/>
      <c r="E10" s="193"/>
      <c r="F10" s="195"/>
      <c r="G10" s="193"/>
      <c r="H10" s="196"/>
      <c r="I10" s="196"/>
      <c r="J10" s="53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4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Orçamentária'!J387</f>
        <v>1000000</v>
      </c>
      <c r="L17" s="92">
        <f>+'Execução Orçamentária'!K387</f>
        <v>0</v>
      </c>
      <c r="M17" s="92">
        <f>+'Execução Orçamentária'!L387</f>
        <v>1000000</v>
      </c>
      <c r="N17" s="92">
        <f>+'Execução Orçamentária'!M387</f>
        <v>0</v>
      </c>
      <c r="O17" s="92" t="e">
        <f>+'Execução Orçamentária'!N396+'Execução Orçamentária'!#REF!+'Execução Orçamentária'!N403</f>
        <v>#REF!</v>
      </c>
      <c r="P17" s="92">
        <f>+'Execução Orçamentária'!O387</f>
        <v>50745.26</v>
      </c>
      <c r="Q17" s="92" t="e">
        <f t="shared" ref="Q17:Q22" si="3">+O17-P17</f>
        <v>#REF!</v>
      </c>
      <c r="R17" s="92">
        <f>'Execução Orçamentária'!R387</f>
        <v>45761.82</v>
      </c>
      <c r="S17" s="243" t="e">
        <f t="shared" si="2"/>
        <v>#REF!</v>
      </c>
      <c r="T17" s="92">
        <f>'Execução Orçamentária'!S387</f>
        <v>29931.989999999998</v>
      </c>
      <c r="U17" s="93" t="e">
        <f t="shared" si="0"/>
        <v>#REF!</v>
      </c>
      <c r="V17" s="92">
        <f>'Execução Orçamentária'!T387</f>
        <v>26733.62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2022-04-11T17:15:56Z</dcterms:modified>
</cp:coreProperties>
</file>